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fusa-my.sharepoint.com/personal/brandon_narveson_foremostfarms_com/Documents/Personal/High Point Church/Crossroads/"/>
    </mc:Choice>
  </mc:AlternateContent>
  <xr:revisionPtr revIDLastSave="0" documentId="8_{A924F2AA-378C-416C-8205-4792D788D88F}" xr6:coauthVersionLast="47" xr6:coauthVersionMax="47" xr10:uidLastSave="{00000000-0000-0000-0000-000000000000}"/>
  <bookViews>
    <workbookView xWindow="-110" yWindow="-110" windowWidth="19420" windowHeight="11620" xr2:uid="{5163783D-025F-47B2-847C-D0B76A3A6B8F}"/>
  </bookViews>
  <sheets>
    <sheet name="Summary View" sheetId="6" r:id="rId1"/>
    <sheet name="General Giving" sheetId="8" r:id="rId2"/>
    <sheet name="Provided by Crossroads &gt;&gt;&gt;" sheetId="7" r:id="rId3"/>
    <sheet name="June 2023 - General Fund P&amp;L" sheetId="1" r:id="rId4"/>
    <sheet name="Jul Jan 2024 - General Fund P&amp;L" sheetId="2" r:id="rId5"/>
    <sheet name="FYE June 30, 2023 School P &amp; L" sheetId="4" r:id="rId6"/>
    <sheet name="Jul 2023 - Jan 2024 School P&amp;l" sheetId="3" r:id="rId7"/>
    <sheet name="Receipts from Use of Building" sheetId="5" r:id="rId8"/>
  </sheets>
  <definedNames>
    <definedName name="_xlnm.Print_Titles" localSheetId="5">'FYE June 30, 2023 School P &amp; L'!$1:$1</definedName>
    <definedName name="_xlnm.Print_Titles" localSheetId="6">'Jul 2023 - Jan 2024 School P&amp;l'!$1:$1</definedName>
    <definedName name="_xlnm.Print_Titles" localSheetId="4">'Jul Jan 2024 - General Fund P&amp;L'!$1:$1</definedName>
    <definedName name="_xlnm.Print_Titles" localSheetId="3">'June 2023 - General Fund P&amp;L'!$1:$1</definedName>
    <definedName name="_xlnm.Print_Titles" localSheetId="7">'Receipts from Use of Building'!$1:$1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6" l="1"/>
  <c r="E6" i="6"/>
  <c r="E18" i="6"/>
  <c r="E19" i="6"/>
  <c r="E26" i="6"/>
  <c r="E27" i="6"/>
  <c r="E30" i="6"/>
  <c r="E31" i="6"/>
  <c r="E25" i="6"/>
  <c r="E8" i="6"/>
  <c r="E7" i="6"/>
  <c r="E33" i="6" l="1"/>
  <c r="E73" i="6"/>
  <c r="E74" i="6" s="1"/>
  <c r="D74" i="6"/>
  <c r="B74" i="6"/>
  <c r="D11" i="6"/>
  <c r="B11" i="6"/>
  <c r="D5" i="8"/>
  <c r="D6" i="8"/>
  <c r="D12" i="8" s="1"/>
  <c r="E9" i="6"/>
  <c r="D7" i="8" l="1"/>
  <c r="E10" i="6" s="1"/>
  <c r="D8" i="8"/>
  <c r="D9" i="8"/>
  <c r="D10" i="8"/>
  <c r="D11" i="8"/>
  <c r="C3" i="3" l="1"/>
  <c r="C74" i="6"/>
  <c r="E69" i="6"/>
  <c r="D69" i="6"/>
  <c r="C69" i="6"/>
  <c r="D60" i="6"/>
  <c r="C60" i="6"/>
  <c r="E55" i="6"/>
  <c r="D55" i="6"/>
  <c r="C55" i="6"/>
  <c r="E47" i="6"/>
  <c r="D47" i="6"/>
  <c r="C47" i="6"/>
  <c r="E40" i="6"/>
  <c r="D40" i="6"/>
  <c r="C40" i="6"/>
  <c r="D33" i="6"/>
  <c r="C33" i="6"/>
  <c r="D22" i="6"/>
  <c r="C22" i="6"/>
  <c r="C11" i="6"/>
  <c r="B69" i="6"/>
  <c r="B60" i="6"/>
  <c r="B55" i="6"/>
  <c r="B47" i="6"/>
  <c r="B40" i="6"/>
  <c r="B33" i="6"/>
  <c r="B22" i="6"/>
  <c r="B10" i="4"/>
  <c r="B4" i="4"/>
  <c r="B12" i="4" s="1"/>
  <c r="B4" i="3"/>
  <c r="B12" i="3" s="1"/>
  <c r="B10" i="3"/>
  <c r="E11" i="6" l="1"/>
  <c r="E22" i="6"/>
  <c r="C76" i="6"/>
  <c r="C78" i="6" s="1"/>
  <c r="D76" i="6"/>
  <c r="D78" i="6" s="1"/>
  <c r="B76" i="6"/>
  <c r="B78" i="6" s="1"/>
  <c r="E76" i="6" l="1"/>
  <c r="E78" i="6" s="1"/>
</calcChain>
</file>

<file path=xl/sharedStrings.xml><?xml version="1.0" encoding="utf-8"?>
<sst xmlns="http://schemas.openxmlformats.org/spreadsheetml/2006/main" count="373" uniqueCount="168">
  <si>
    <t>DIFFERENCE</t>
  </si>
  <si>
    <t>TOTAL BUDGET EXPENSES</t>
  </si>
  <si>
    <t>TOTAL DENOMINATIONAL &amp; CLASSICAL SHARES</t>
  </si>
  <si>
    <t>DENOMINATIONAL &amp; CLASSICAL SHA</t>
  </si>
  <si>
    <t>DEMONINATIONAL &amp; CLASSICAL SHARES</t>
  </si>
  <si>
    <t>TOTAL MISCELLANEOUS</t>
  </si>
  <si>
    <t>OTHER</t>
  </si>
  <si>
    <t>DEACONESSES</t>
  </si>
  <si>
    <t>OFFICE SUPPLIES</t>
  </si>
  <si>
    <t>SOFTWARE</t>
  </si>
  <si>
    <t>EQUIPMENT</t>
  </si>
  <si>
    <t>BULLETINS &amp; SUPPLIES</t>
  </si>
  <si>
    <t>MISCELLANEOUS:</t>
  </si>
  <si>
    <t>TOTAL FELLOWSHIP COMMITTEE</t>
  </si>
  <si>
    <t>FELLOWSHIP ACTIVITIES</t>
  </si>
  <si>
    <t>FELLOWSHIP COMMITTEE:</t>
  </si>
  <si>
    <t>TOTAL PUBLIC WORSHIP &amp; MUSIC</t>
  </si>
  <si>
    <t>WORSHIP SERVICE EXPENSES</t>
  </si>
  <si>
    <t>DECORATIONS EXPENSE</t>
  </si>
  <si>
    <t>WORSHIP ACCOMPANIST</t>
  </si>
  <si>
    <t>NURSERY EXPENSES</t>
  </si>
  <si>
    <t>PULPIT SUPPLY</t>
  </si>
  <si>
    <t>PUBLIC WORSHIP AND MUSIC:</t>
  </si>
  <si>
    <t>TOTAL EVANGELISM &amp; MISSIONS</t>
  </si>
  <si>
    <t>SPECIAL EVANGELISM EVENTS</t>
  </si>
  <si>
    <t>PUBLICITY</t>
  </si>
  <si>
    <t>COFFEE BREAK, MEN'S LIFE, MOMS</t>
  </si>
  <si>
    <t>SOCIAL JUSTICE</t>
  </si>
  <si>
    <t>EVANGELISM AND MISSIONS:</t>
  </si>
  <si>
    <t>TOTAL EDUCATION</t>
  </si>
  <si>
    <t>LEADERSHIP TRAINING</t>
  </si>
  <si>
    <t>LIBRARY</t>
  </si>
  <si>
    <t>YOUTH GROUP</t>
  </si>
  <si>
    <t>CHURCH SCHOOL</t>
  </si>
  <si>
    <t>EDUCATION:</t>
  </si>
  <si>
    <t>TOTAL BUILDING &amp; PROPERTY</t>
  </si>
  <si>
    <t>YOUTH TRANSPORTATION</t>
  </si>
  <si>
    <t>PROPERTY INSURANCE</t>
  </si>
  <si>
    <t>CHURCH SUPPLIES</t>
  </si>
  <si>
    <t>REPAIRS &amp; MAINTENANCE</t>
  </si>
  <si>
    <t>EQUIPMENT AND IMPROVEMENTS</t>
  </si>
  <si>
    <t>CHURCH TELEPHONE</t>
  </si>
  <si>
    <t>CHURCH  UTILITIES</t>
  </si>
  <si>
    <t>BUILDING AND PROPERTY:</t>
  </si>
  <si>
    <t>TOTAL SALARIES &amp; RELATED EXPENSES</t>
  </si>
  <si>
    <t>TECHNICAL SERVICES</t>
  </si>
  <si>
    <t>SALARY - YOUTH WORKER</t>
  </si>
  <si>
    <t>SOCIAL SECURITY &amp; MEDICARE</t>
  </si>
  <si>
    <t>JANITORIAL SERVICES</t>
  </si>
  <si>
    <t>CLERICAL SERVICES</t>
  </si>
  <si>
    <t>MEAL/TRAVEL ALLOWANCE</t>
  </si>
  <si>
    <t>PENSION - SR. PASTOR</t>
  </si>
  <si>
    <t>SALARY - SR. PASTOR</t>
  </si>
  <si>
    <t>SALARIES AND RELATED EXPENSES:</t>
  </si>
  <si>
    <t>TOTAL OFFERINGS AND OTHER RECEIPTS</t>
  </si>
  <si>
    <t>SCHOOL RENTS TO GEN FUND</t>
  </si>
  <si>
    <t>GENERAL FUND</t>
  </si>
  <si>
    <t>OFFERINGS AND OTHER RECEIPTS:</t>
  </si>
  <si>
    <t>YEAR TO DATE
ACTUAL</t>
  </si>
  <si>
    <t>CURRENT MONTH
ACTUAL</t>
  </si>
  <si>
    <t xml:space="preserve">
</t>
  </si>
  <si>
    <t>Year to Date</t>
  </si>
  <si>
    <t>REVENUES</t>
  </si>
  <si>
    <t>RENTAL INCOME - SCHOOL</t>
  </si>
  <si>
    <t>TOTAL REVENUES</t>
  </si>
  <si>
    <t>EXPENSES</t>
  </si>
  <si>
    <t>CAPITAL IMPROVEMENT EXPENSES</t>
  </si>
  <si>
    <t>INTEREST EXPENSE</t>
  </si>
  <si>
    <t>RENTAL EXPENSES - SCHOOL</t>
  </si>
  <si>
    <t>TOTAL EXPENSES</t>
  </si>
  <si>
    <t>NET INCOME</t>
  </si>
  <si>
    <t>$18395 transferred to general fund.  Balance is for tree removal at school</t>
  </si>
  <si>
    <t>Repair roof leak at school</t>
  </si>
  <si>
    <t>Interest on church remodeling loan</t>
  </si>
  <si>
    <t>School rents transferred to general fund.</t>
  </si>
  <si>
    <t>School rents transferred to General Fund</t>
  </si>
  <si>
    <t>Mandated contributions to our denominations pension fund.</t>
  </si>
  <si>
    <t>Outside janitor cleans the church on Saturdays.  He is paid $350 every other week.</t>
  </si>
  <si>
    <t>Comments</t>
  </si>
  <si>
    <t>Our liability for our Tech Services Person</t>
  </si>
  <si>
    <t>Network, website, sound person</t>
  </si>
  <si>
    <t>Water, Gas &amp; Electric</t>
  </si>
  <si>
    <t>Primarily janitorial supplies, paper towels, toilet paper, and cleaning supplies</t>
  </si>
  <si>
    <t>Primarily website expenses</t>
  </si>
  <si>
    <t>Guest pastors</t>
  </si>
  <si>
    <t>Vacant position</t>
  </si>
  <si>
    <t>Outside pianist performs twice per month.</t>
  </si>
  <si>
    <t>Bank fees and expenses that don't fit elsewhere</t>
  </si>
  <si>
    <t>Voluntary contributions to denominational causes</t>
  </si>
  <si>
    <t>Also includes workers compensation and umbrella premiums</t>
  </si>
  <si>
    <t>Primarily sound booth expense, video and music licensing</t>
  </si>
  <si>
    <t xml:space="preserve">Youth Pastor </t>
  </si>
  <si>
    <t>Secretary salary</t>
  </si>
  <si>
    <t>Our liability for secretary, youth pastor, and tech person</t>
  </si>
  <si>
    <t>Outside janitor cleans the church on Saturdays.</t>
  </si>
  <si>
    <t>Routine HVAC service, snow/ice removal, lawn equipment maintenance, gas  Snow/ice removal costs were approximately $15,000</t>
  </si>
  <si>
    <t>Routine HVAC service, snow/ice removal, lawn equipment maintenance, gas.  Does not include approximately $6,000 snow removal costs paid in Feb.</t>
  </si>
  <si>
    <t>Child &amp; Adult Education</t>
  </si>
  <si>
    <t>Primarily annual subscription for accounting software</t>
  </si>
  <si>
    <t>Cost of transporting youth to various events</t>
  </si>
  <si>
    <t>Date</t>
  </si>
  <si>
    <t>Trans Description</t>
  </si>
  <si>
    <t>Debit Amt</t>
  </si>
  <si>
    <t>Charis Classical Adademy</t>
  </si>
  <si>
    <t>Pillar of Truth Church</t>
  </si>
  <si>
    <t>Includes rents from use of church</t>
  </si>
  <si>
    <t>2023 Comments</t>
  </si>
  <si>
    <t>2024 Comments</t>
  </si>
  <si>
    <t>2023 FY</t>
  </si>
  <si>
    <t>Jan'24</t>
  </si>
  <si>
    <t>2024 YTD
Jul'23 - Jan'24
(7 months)</t>
  </si>
  <si>
    <t>2025 Comments</t>
  </si>
  <si>
    <t>2025 FY Projection
Jul'24 - Jun'25</t>
  </si>
  <si>
    <t>LE PETITE</t>
  </si>
  <si>
    <t>Provided by Cross Roads</t>
  </si>
  <si>
    <t>Build by HPC</t>
  </si>
  <si>
    <t>Assuming 50% more cleaning needed with greater attendence</t>
  </si>
  <si>
    <t>Assuming 50% more supplies needed with greater attendence</t>
  </si>
  <si>
    <t>Planning to bake this into the offline capital expense offline workbook</t>
  </si>
  <si>
    <t>Plan to source from HPC volunteers &amp; resources</t>
  </si>
  <si>
    <t>What is the current state of their library? Can HPC share any books / resources? How critical is this?</t>
  </si>
  <si>
    <t>Rough placeholder, what would Crossroads need to spruce things up?</t>
  </si>
  <si>
    <t>Additional Giving From New Attenders</t>
  </si>
  <si>
    <t>CHURCH SCHOOL (Kidsmin)</t>
  </si>
  <si>
    <t>Nursery supplies</t>
  </si>
  <si>
    <t>Basic youth group supplies</t>
  </si>
  <si>
    <t>Basic Sunday kids ed supplies</t>
  </si>
  <si>
    <t>Communion supplies, Bibles, microphones, cabling, etc.</t>
  </si>
  <si>
    <t>FELLOWSHIP ACTIVITIES - Kitchen and Sunday AM hospitality</t>
  </si>
  <si>
    <t>Coffee, plates, cups, napkins, snacks, etc.</t>
  </si>
  <si>
    <t>Printing costs</t>
  </si>
  <si>
    <t>Living Springs Church</t>
  </si>
  <si>
    <t>FY'23</t>
  </si>
  <si>
    <t>FY'24 Fcst</t>
  </si>
  <si>
    <t>Attendence</t>
  </si>
  <si>
    <t>Year</t>
  </si>
  <si>
    <t>Q3'24</t>
  </si>
  <si>
    <t>Q4'24</t>
  </si>
  <si>
    <t>Q1'25</t>
  </si>
  <si>
    <t>Q2'25</t>
  </si>
  <si>
    <t>Q3'25</t>
  </si>
  <si>
    <t>Q4'25</t>
  </si>
  <si>
    <t>Attendance projects provided by Mike B.</t>
  </si>
  <si>
    <t>Assumes all new attendees will give at the same level as current attenders</t>
  </si>
  <si>
    <t>Charis</t>
  </si>
  <si>
    <t>Missions</t>
  </si>
  <si>
    <t>$4K/year</t>
  </si>
  <si>
    <t>Contract through Aug'27 at roughly $6,300/month</t>
  </si>
  <si>
    <t>Contract through May'25 at $4,400 / month (9 months / year) &gt;&gt;&gt; amount determined by weekly use</t>
  </si>
  <si>
    <t>Assuming 50% more utilities needed with greater attendence. Includes electric, heat, internet</t>
  </si>
  <si>
    <t>MORTGAGE</t>
  </si>
  <si>
    <t>$292K left on mortgage with a 5% interest rate</t>
  </si>
  <si>
    <t>Currently paying interim pastor $1,200 / month plus travel, but would expect this to go away if we were to take CR on</t>
  </si>
  <si>
    <t>Expect this to be zero with little to no headcount of their own</t>
  </si>
  <si>
    <t>Accounting Software (Sage)</t>
  </si>
  <si>
    <t>Catch all for misc. expenses</t>
  </si>
  <si>
    <t>Presuming this is tied to janitorial services</t>
  </si>
  <si>
    <t>HPC to cover</t>
  </si>
  <si>
    <t>CONGREGATIONAL CARE</t>
  </si>
  <si>
    <t>Assumes same YoY giving from a run rate perspective. Received note that $2,700/month of the LaPetite revenue that was put in the general fund. Charis is not getting lumped into the General Fund line</t>
  </si>
  <si>
    <t>Assuming this starts Oct'24 at $4K/month</t>
  </si>
  <si>
    <t>Incremental giving to people moving from HPC West to Crossroads &gt;&gt;&gt; See "General Giving" tab for additional details</t>
  </si>
  <si>
    <t>CR historically paid a member that was their IT website guy and he is now gone. Assume any technical resources can be absorbed by HPC volunteers</t>
  </si>
  <si>
    <t xml:space="preserve">Includes reapairs for snow and lawn equipment as well as cleaning expense </t>
  </si>
  <si>
    <t>Assumes 20% increase (Includes liability insurance and an umbrella policy)</t>
  </si>
  <si>
    <t>Assuming that HPC would cover cost via the "launch budget"</t>
  </si>
  <si>
    <t>For time being not budgeting anything here</t>
  </si>
  <si>
    <t>No longer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</si>
</sst>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#,##0.00;\-#,##0.00;* ??"/>
  </numFmts>
  <fonts count="9" x14ac:knownFonts="1"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7">
    <xf numFmtId="0" fontId="0" fillId="0" borderId="0" xfId="0"/>
    <xf numFmtId="0" fontId="2" fillId="0" borderId="0" xfId="0" applyFont="1"/>
    <xf numFmtId="7" fontId="3" fillId="0" borderId="0" xfId="0" applyNumberFormat="1" applyFont="1" applyAlignment="1">
      <alignment horizontal="right"/>
    </xf>
    <xf numFmtId="7" fontId="2" fillId="0" borderId="0" xfId="0" applyNumberFormat="1" applyFont="1"/>
    <xf numFmtId="0" fontId="3" fillId="0" borderId="0" xfId="0" applyFont="1"/>
    <xf numFmtId="7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7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7" fontId="3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7" fontId="4" fillId="0" borderId="3" xfId="0" applyNumberFormat="1" applyFont="1" applyBorder="1" applyAlignment="1">
      <alignment horizontal="right"/>
    </xf>
    <xf numFmtId="7" fontId="4" fillId="0" borderId="3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3" xfId="2" applyNumberFormat="1" applyFont="1" applyBorder="1" applyAlignment="1">
      <alignment horizontal="center" vertical="top" wrapText="1"/>
    </xf>
    <xf numFmtId="7" fontId="4" fillId="0" borderId="3" xfId="2" applyNumberFormat="1" applyFont="1" applyBorder="1" applyAlignment="1">
      <alignment horizontal="right" vertical="top" wrapText="1"/>
    </xf>
    <xf numFmtId="0" fontId="4" fillId="0" borderId="0" xfId="2" applyFont="1" applyAlignment="1">
      <alignment horizontal="left" vertical="top"/>
    </xf>
    <xf numFmtId="49" fontId="2" fillId="0" borderId="0" xfId="2" applyNumberFormat="1" applyFont="1" applyAlignment="1">
      <alignment horizontal="left" vertical="top"/>
    </xf>
    <xf numFmtId="7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/>
    </xf>
    <xf numFmtId="49" fontId="3" fillId="0" borderId="0" xfId="2" applyNumberFormat="1" applyFont="1" applyAlignment="1">
      <alignment horizontal="left" vertical="top"/>
    </xf>
    <xf numFmtId="7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left" vertical="top"/>
    </xf>
    <xf numFmtId="49" fontId="3" fillId="0" borderId="2" xfId="2" applyNumberFormat="1" applyFont="1" applyBorder="1" applyAlignment="1">
      <alignment horizontal="left" vertical="top"/>
    </xf>
    <xf numFmtId="7" fontId="3" fillId="0" borderId="2" xfId="2" applyNumberFormat="1" applyFont="1" applyBorder="1" applyAlignment="1">
      <alignment horizontal="right" vertical="top"/>
    </xf>
    <xf numFmtId="49" fontId="5" fillId="0" borderId="0" xfId="2" applyNumberFormat="1" applyAlignment="1">
      <alignment horizontal="left"/>
    </xf>
    <xf numFmtId="7" fontId="5" fillId="0" borderId="0" xfId="2" applyNumberFormat="1" applyAlignment="1">
      <alignment horizontal="right"/>
    </xf>
    <xf numFmtId="0" fontId="5" fillId="0" borderId="0" xfId="2"/>
    <xf numFmtId="49" fontId="3" fillId="0" borderId="4" xfId="2" applyNumberFormat="1" applyFont="1" applyBorder="1" applyAlignment="1">
      <alignment horizontal="left" vertical="top"/>
    </xf>
    <xf numFmtId="7" fontId="3" fillId="0" borderId="4" xfId="2" applyNumberFormat="1" applyFont="1" applyBorder="1" applyAlignment="1">
      <alignment horizontal="right" vertical="top"/>
    </xf>
    <xf numFmtId="49" fontId="3" fillId="0" borderId="1" xfId="2" applyNumberFormat="1" applyFont="1" applyBorder="1" applyAlignment="1">
      <alignment horizontal="left" vertical="top"/>
    </xf>
    <xf numFmtId="7" fontId="3" fillId="0" borderId="1" xfId="2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center"/>
    </xf>
    <xf numFmtId="7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Alignment="1">
      <alignment horizontal="left" vertical="top" wrapText="1"/>
    </xf>
    <xf numFmtId="0" fontId="4" fillId="0" borderId="3" xfId="2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0" xfId="2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7" fontId="4" fillId="0" borderId="3" xfId="0" applyNumberFormat="1" applyFont="1" applyBorder="1" applyAlignment="1">
      <alignment horizontal="center" vertical="center" wrapText="1"/>
    </xf>
    <xf numFmtId="7" fontId="4" fillId="0" borderId="3" xfId="2" applyNumberFormat="1" applyFont="1" applyBorder="1" applyAlignment="1">
      <alignment horizontal="center" vertical="center" wrapText="1"/>
    </xf>
    <xf numFmtId="7" fontId="4" fillId="0" borderId="0" xfId="0" applyNumberFormat="1" applyFont="1" applyAlignment="1">
      <alignment horizontal="center" vertical="center" wrapText="1"/>
    </xf>
    <xf numFmtId="7" fontId="4" fillId="0" borderId="0" xfId="2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7" fontId="2" fillId="0" borderId="0" xfId="0" applyNumberFormat="1" applyFont="1" applyAlignment="1">
      <alignment horizontal="center" vertical="center"/>
    </xf>
    <xf numFmtId="7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0" fillId="0" borderId="0" xfId="0" applyAlignme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5" fontId="2" fillId="0" borderId="0" xfId="0" applyNumberFormat="1" applyFont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5" fontId="3" fillId="0" borderId="0" xfId="2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2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5" fontId="0" fillId="0" borderId="0" xfId="0" applyNumberFormat="1" applyAlignment="1">
      <alignment horizontal="center" vertical="center"/>
    </xf>
    <xf numFmtId="5" fontId="5" fillId="0" borderId="0" xfId="2" applyNumberFormat="1" applyAlignment="1">
      <alignment horizontal="center" vertical="center"/>
    </xf>
    <xf numFmtId="0" fontId="5" fillId="0" borderId="0" xfId="2" applyAlignment="1">
      <alignment vertical="center"/>
    </xf>
    <xf numFmtId="5" fontId="2" fillId="0" borderId="0" xfId="2" applyNumberFormat="1" applyFont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5" fontId="4" fillId="0" borderId="5" xfId="0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7" fontId="3" fillId="0" borderId="0" xfId="0" applyNumberFormat="1" applyFont="1" applyAlignment="1">
      <alignment horizontal="center" vertical="center"/>
    </xf>
    <xf numFmtId="7" fontId="3" fillId="0" borderId="0" xfId="2" applyNumberFormat="1" applyFont="1" applyAlignment="1">
      <alignment horizontal="center" vertical="center"/>
    </xf>
    <xf numFmtId="5" fontId="3" fillId="2" borderId="0" xfId="2" applyNumberFormat="1" applyFont="1" applyFill="1" applyAlignment="1">
      <alignment horizontal="center" vertical="center"/>
    </xf>
    <xf numFmtId="5" fontId="2" fillId="2" borderId="0" xfId="2" applyNumberFormat="1" applyFont="1" applyFill="1" applyAlignment="1">
      <alignment horizontal="center" vertical="center"/>
    </xf>
    <xf numFmtId="7" fontId="3" fillId="3" borderId="0" xfId="0" applyNumberFormat="1" applyFont="1" applyFill="1" applyAlignment="1">
      <alignment horizontal="center" vertical="center"/>
    </xf>
    <xf numFmtId="7" fontId="3" fillId="3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7" fillId="0" borderId="0" xfId="0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 wrapText="1"/>
    </xf>
    <xf numFmtId="0" fontId="5" fillId="0" borderId="0" xfId="2" applyAlignment="1">
      <alignment vertical="center" wrapText="1"/>
    </xf>
    <xf numFmtId="0" fontId="8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/>
    </xf>
  </cellXfs>
  <cellStyles count="3">
    <cellStyle name="Normal" xfId="0" builtinId="0"/>
    <cellStyle name="Normal 2" xfId="2" xr:uid="{F111D9FD-DBD6-4AC3-9737-4C6548E9096D}"/>
    <cellStyle name="Normal 5" xfId="1" xr:uid="{FD146485-DD73-4C82-A57F-FF77C1C8562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D316C-5A09-4AE6-959D-42E3065FB09D}">
  <sheetPr>
    <tabColor rgb="FF92D050"/>
    <pageSetUpPr fitToPage="1"/>
  </sheetPr>
  <dimension ref="A1:H92"/>
  <sheetViews>
    <sheetView showGridLines="0" tabSelected="1" zoomScale="80" zoomScaleNormal="80" workbookViewId="0">
      <pane ySplit="3" topLeftCell="A4" activePane="bottomLeft" state="frozen"/>
      <selection pane="bottomLeft" activeCell="H72" sqref="H72"/>
    </sheetView>
  </sheetViews>
  <sheetFormatPr defaultColWidth="8.6640625" defaultRowHeight="14" outlineLevelRow="1" outlineLevelCol="1" x14ac:dyDescent="0.3"/>
  <cols>
    <col min="1" max="1" width="46.83203125" style="50" bestFit="1" customWidth="1"/>
    <col min="2" max="2" width="24.33203125" style="51" bestFit="1" customWidth="1"/>
    <col min="3" max="3" width="24.33203125" style="52" hidden="1" customWidth="1" outlineLevel="1"/>
    <col min="4" max="4" width="24.33203125" style="52" bestFit="1" customWidth="1" collapsed="1"/>
    <col min="5" max="5" width="18.08203125" style="52" bestFit="1" customWidth="1"/>
    <col min="6" max="6" width="40.5" style="50" hidden="1" customWidth="1" outlineLevel="1"/>
    <col min="7" max="7" width="40.5" style="53" hidden="1" customWidth="1" outlineLevel="1"/>
    <col min="8" max="8" width="64.4140625" style="91" customWidth="1" collapsed="1"/>
    <col min="9" max="16384" width="8.6640625" style="54"/>
  </cols>
  <sheetData>
    <row r="1" spans="1:8" x14ac:dyDescent="0.3">
      <c r="B1" s="80" t="s">
        <v>114</v>
      </c>
      <c r="C1" s="80" t="s">
        <v>114</v>
      </c>
      <c r="D1" s="80" t="s">
        <v>114</v>
      </c>
      <c r="E1" s="81" t="s">
        <v>115</v>
      </c>
    </row>
    <row r="2" spans="1:8" x14ac:dyDescent="0.3">
      <c r="B2" s="76"/>
      <c r="C2" s="76"/>
      <c r="D2" s="76"/>
      <c r="E2" s="77"/>
    </row>
    <row r="3" spans="1:8" ht="42.5" thickBot="1" x14ac:dyDescent="0.35">
      <c r="A3" s="55" t="s">
        <v>60</v>
      </c>
      <c r="B3" s="46" t="s">
        <v>108</v>
      </c>
      <c r="C3" s="47" t="s">
        <v>109</v>
      </c>
      <c r="D3" s="47" t="s">
        <v>110</v>
      </c>
      <c r="E3" s="47" t="s">
        <v>112</v>
      </c>
      <c r="F3" s="75" t="s">
        <v>106</v>
      </c>
      <c r="G3" s="75" t="s">
        <v>107</v>
      </c>
      <c r="H3" s="92" t="s">
        <v>111</v>
      </c>
    </row>
    <row r="4" spans="1:8" x14ac:dyDescent="0.3">
      <c r="A4" s="56"/>
      <c r="B4" s="48"/>
      <c r="C4" s="49"/>
      <c r="D4" s="49"/>
      <c r="E4" s="49"/>
      <c r="F4" s="57"/>
      <c r="G4" s="57"/>
      <c r="H4" s="93"/>
    </row>
    <row r="5" spans="1:8" outlineLevel="1" x14ac:dyDescent="0.3">
      <c r="A5" s="58" t="s">
        <v>57</v>
      </c>
      <c r="B5" s="59"/>
    </row>
    <row r="6" spans="1:8" ht="49" customHeight="1" outlineLevel="1" x14ac:dyDescent="0.3">
      <c r="A6" s="89" t="s">
        <v>56</v>
      </c>
      <c r="B6" s="60">
        <v>153649.85</v>
      </c>
      <c r="C6" s="61">
        <v>17078.2</v>
      </c>
      <c r="D6" s="61">
        <v>92106.87</v>
      </c>
      <c r="E6" s="78">
        <f>ROUNDUP((D6-2700*7)/7*12,-2)</f>
        <v>125500</v>
      </c>
      <c r="F6" s="62" t="s">
        <v>105</v>
      </c>
      <c r="G6" s="62" t="s">
        <v>105</v>
      </c>
      <c r="H6" s="62" t="s">
        <v>159</v>
      </c>
    </row>
    <row r="7" spans="1:8" ht="20.5" customHeight="1" outlineLevel="1" x14ac:dyDescent="0.3">
      <c r="A7" s="89" t="s">
        <v>113</v>
      </c>
      <c r="B7" s="60"/>
      <c r="C7" s="61"/>
      <c r="D7" s="61"/>
      <c r="E7" s="78">
        <f>6300*12</f>
        <v>75600</v>
      </c>
      <c r="F7" s="62"/>
      <c r="G7" s="62"/>
      <c r="H7" s="62" t="s">
        <v>147</v>
      </c>
    </row>
    <row r="8" spans="1:8" ht="38.5" customHeight="1" outlineLevel="1" x14ac:dyDescent="0.3">
      <c r="A8" s="89" t="s">
        <v>144</v>
      </c>
      <c r="B8" s="60">
        <v>31533.96</v>
      </c>
      <c r="C8" s="61">
        <v>2627.83</v>
      </c>
      <c r="D8" s="61">
        <v>18394.810000000001</v>
      </c>
      <c r="E8" s="78">
        <f>4400*9</f>
        <v>39600</v>
      </c>
      <c r="F8" s="63" t="s">
        <v>75</v>
      </c>
      <c r="G8" s="63" t="s">
        <v>75</v>
      </c>
      <c r="H8" s="63" t="s">
        <v>148</v>
      </c>
    </row>
    <row r="9" spans="1:8" ht="21" customHeight="1" outlineLevel="1" x14ac:dyDescent="0.3">
      <c r="A9" s="89" t="s">
        <v>131</v>
      </c>
      <c r="B9" s="60"/>
      <c r="C9" s="61"/>
      <c r="D9" s="61"/>
      <c r="E9" s="78">
        <f>4000*9</f>
        <v>36000</v>
      </c>
      <c r="F9" s="63"/>
      <c r="G9" s="63"/>
      <c r="H9" s="63" t="s">
        <v>160</v>
      </c>
    </row>
    <row r="10" spans="1:8" ht="38.5" customHeight="1" outlineLevel="1" x14ac:dyDescent="0.3">
      <c r="A10" s="89" t="s">
        <v>122</v>
      </c>
      <c r="B10" s="60"/>
      <c r="C10" s="61"/>
      <c r="D10" s="61"/>
      <c r="E10" s="78">
        <f>ROUNDUP(SUM('General Giving'!D7:D10)-E6,-2)</f>
        <v>27200</v>
      </c>
      <c r="F10" s="63"/>
      <c r="G10" s="63"/>
      <c r="H10" s="63" t="s">
        <v>161</v>
      </c>
    </row>
    <row r="11" spans="1:8" x14ac:dyDescent="0.3">
      <c r="A11" s="64" t="s">
        <v>54</v>
      </c>
      <c r="B11" s="65">
        <f>SUM(B6:B10)</f>
        <v>185183.81</v>
      </c>
      <c r="C11" s="65">
        <f>SUM(C6:C8)</f>
        <v>19706.03</v>
      </c>
      <c r="D11" s="65">
        <f>SUM(D6:D10)</f>
        <v>110501.68</v>
      </c>
      <c r="E11" s="65">
        <f>SUM(E6:E8)</f>
        <v>240700</v>
      </c>
      <c r="F11" s="66"/>
      <c r="G11" s="67"/>
      <c r="H11" s="63"/>
    </row>
    <row r="12" spans="1:8" x14ac:dyDescent="0.3">
      <c r="A12" s="68"/>
      <c r="B12" s="69"/>
      <c r="C12" s="70"/>
      <c r="D12" s="70"/>
      <c r="E12" s="70"/>
      <c r="F12" s="54"/>
      <c r="G12" s="71"/>
      <c r="H12" s="94"/>
    </row>
    <row r="13" spans="1:8" outlineLevel="1" x14ac:dyDescent="0.3">
      <c r="A13" s="58" t="s">
        <v>53</v>
      </c>
      <c r="B13" s="59"/>
      <c r="C13" s="72"/>
      <c r="D13" s="72"/>
      <c r="E13" s="72"/>
    </row>
    <row r="14" spans="1:8" outlineLevel="1" x14ac:dyDescent="0.3">
      <c r="A14" s="89" t="s">
        <v>52</v>
      </c>
      <c r="B14" s="60">
        <v>0</v>
      </c>
      <c r="C14" s="61">
        <v>0</v>
      </c>
      <c r="D14" s="61">
        <v>0</v>
      </c>
      <c r="E14" s="78">
        <v>0</v>
      </c>
      <c r="F14" s="67" t="s">
        <v>85</v>
      </c>
      <c r="G14" s="67" t="s">
        <v>85</v>
      </c>
      <c r="H14" s="63" t="s">
        <v>157</v>
      </c>
    </row>
    <row r="15" spans="1:8" ht="28" outlineLevel="1" x14ac:dyDescent="0.3">
      <c r="A15" s="89" t="s">
        <v>51</v>
      </c>
      <c r="B15" s="60">
        <v>1364.6</v>
      </c>
      <c r="C15" s="61">
        <v>80.599999999999994</v>
      </c>
      <c r="D15" s="61">
        <v>343.2</v>
      </c>
      <c r="E15" s="78">
        <v>0</v>
      </c>
      <c r="F15" s="63" t="s">
        <v>76</v>
      </c>
      <c r="G15" s="63" t="s">
        <v>76</v>
      </c>
      <c r="H15" s="63" t="s">
        <v>157</v>
      </c>
    </row>
    <row r="16" spans="1:8" outlineLevel="1" x14ac:dyDescent="0.3">
      <c r="A16" s="89" t="s">
        <v>50</v>
      </c>
      <c r="B16" s="60">
        <v>88.37</v>
      </c>
      <c r="C16" s="61">
        <v>0</v>
      </c>
      <c r="D16" s="61">
        <v>0</v>
      </c>
      <c r="E16" s="78">
        <v>0</v>
      </c>
      <c r="F16" s="66"/>
      <c r="G16" s="67"/>
      <c r="H16" s="63"/>
    </row>
    <row r="17" spans="1:8" outlineLevel="1" x14ac:dyDescent="0.3">
      <c r="A17" s="89" t="s">
        <v>49</v>
      </c>
      <c r="B17" s="60">
        <v>15600</v>
      </c>
      <c r="C17" s="72"/>
      <c r="D17" s="72"/>
      <c r="E17" s="78">
        <v>0</v>
      </c>
      <c r="F17" s="66" t="s">
        <v>92</v>
      </c>
    </row>
    <row r="18" spans="1:8" ht="28" outlineLevel="1" x14ac:dyDescent="0.3">
      <c r="A18" s="89" t="s">
        <v>48</v>
      </c>
      <c r="B18" s="60">
        <v>8550</v>
      </c>
      <c r="C18" s="61">
        <v>1050</v>
      </c>
      <c r="D18" s="61">
        <v>5250</v>
      </c>
      <c r="E18" s="78">
        <f>ROUNDUP(D18/7*12*1.5,-2)</f>
        <v>13500</v>
      </c>
      <c r="F18" s="63" t="s">
        <v>94</v>
      </c>
      <c r="G18" s="63" t="s">
        <v>77</v>
      </c>
      <c r="H18" s="63" t="s">
        <v>116</v>
      </c>
    </row>
    <row r="19" spans="1:8" ht="28" outlineLevel="1" x14ac:dyDescent="0.3">
      <c r="A19" s="89" t="s">
        <v>47</v>
      </c>
      <c r="B19" s="60">
        <v>2626.4</v>
      </c>
      <c r="C19" s="61">
        <v>86.7</v>
      </c>
      <c r="D19" s="61">
        <v>603.08000000000004</v>
      </c>
      <c r="E19" s="78">
        <f>ROUNDUP(D19/7*12*1.05,-2)</f>
        <v>1100</v>
      </c>
      <c r="F19" s="62" t="s">
        <v>93</v>
      </c>
      <c r="G19" s="63" t="s">
        <v>79</v>
      </c>
      <c r="H19" s="63" t="s">
        <v>156</v>
      </c>
    </row>
    <row r="20" spans="1:8" outlineLevel="1" x14ac:dyDescent="0.3">
      <c r="A20" s="89" t="s">
        <v>46</v>
      </c>
      <c r="B20" s="60">
        <v>5100</v>
      </c>
      <c r="C20" s="72"/>
      <c r="D20" s="72"/>
      <c r="E20" s="78">
        <v>0</v>
      </c>
      <c r="F20" s="66" t="s">
        <v>91</v>
      </c>
    </row>
    <row r="21" spans="1:8" ht="45.5" customHeight="1" outlineLevel="1" x14ac:dyDescent="0.3">
      <c r="A21" s="89" t="s">
        <v>45</v>
      </c>
      <c r="B21" s="60">
        <v>12999.98</v>
      </c>
      <c r="C21" s="61">
        <v>1133.33</v>
      </c>
      <c r="D21" s="61">
        <v>7883.31</v>
      </c>
      <c r="E21" s="78">
        <v>0</v>
      </c>
      <c r="F21" s="63" t="s">
        <v>80</v>
      </c>
      <c r="G21" s="63" t="s">
        <v>80</v>
      </c>
      <c r="H21" s="95" t="s">
        <v>162</v>
      </c>
    </row>
    <row r="22" spans="1:8" x14ac:dyDescent="0.3">
      <c r="A22" s="64" t="s">
        <v>44</v>
      </c>
      <c r="B22" s="65">
        <f>SUM(B14:B21)</f>
        <v>46329.350000000006</v>
      </c>
      <c r="C22" s="65">
        <f t="shared" ref="C22:E22" si="0">SUM(C14:C21)</f>
        <v>2350.63</v>
      </c>
      <c r="D22" s="65">
        <f t="shared" si="0"/>
        <v>14079.59</v>
      </c>
      <c r="E22" s="65">
        <f t="shared" si="0"/>
        <v>14600</v>
      </c>
      <c r="F22" s="66"/>
      <c r="G22" s="67"/>
      <c r="H22" s="63"/>
    </row>
    <row r="23" spans="1:8" outlineLevel="1" x14ac:dyDescent="0.3">
      <c r="A23" s="68"/>
      <c r="B23" s="69"/>
      <c r="C23" s="70"/>
      <c r="D23" s="70"/>
      <c r="E23" s="70"/>
      <c r="F23" s="54"/>
      <c r="G23" s="71"/>
      <c r="H23" s="94"/>
    </row>
    <row r="24" spans="1:8" outlineLevel="1" x14ac:dyDescent="0.3">
      <c r="A24" s="58" t="s">
        <v>43</v>
      </c>
      <c r="B24" s="59"/>
      <c r="C24" s="72"/>
      <c r="D24" s="72"/>
      <c r="E24" s="72"/>
    </row>
    <row r="25" spans="1:8" outlineLevel="1" x14ac:dyDescent="0.3">
      <c r="A25" s="89" t="s">
        <v>150</v>
      </c>
      <c r="B25" s="59"/>
      <c r="C25" s="72"/>
      <c r="D25" s="72"/>
      <c r="E25" s="78">
        <f>2100*12</f>
        <v>25200</v>
      </c>
      <c r="H25" s="63" t="s">
        <v>151</v>
      </c>
    </row>
    <row r="26" spans="1:8" ht="28" outlineLevel="1" x14ac:dyDescent="0.3">
      <c r="A26" s="89" t="s">
        <v>42</v>
      </c>
      <c r="B26" s="60">
        <v>27403.22</v>
      </c>
      <c r="C26" s="61">
        <v>2631.62</v>
      </c>
      <c r="D26" s="61">
        <v>16606.22</v>
      </c>
      <c r="E26" s="78">
        <f>ROUNDUP(D26/7*12*1.5,-2)</f>
        <v>42800</v>
      </c>
      <c r="F26" s="67" t="s">
        <v>81</v>
      </c>
      <c r="G26" s="67" t="s">
        <v>81</v>
      </c>
      <c r="H26" s="63" t="s">
        <v>149</v>
      </c>
    </row>
    <row r="27" spans="1:8" outlineLevel="1" x14ac:dyDescent="0.3">
      <c r="A27" s="89" t="s">
        <v>41</v>
      </c>
      <c r="B27" s="60">
        <v>2502.04</v>
      </c>
      <c r="C27" s="61">
        <v>67.989999999999995</v>
      </c>
      <c r="D27" s="61">
        <v>624.24</v>
      </c>
      <c r="E27" s="78">
        <f>ROUNDUP(D27/7*12,-2)</f>
        <v>1100</v>
      </c>
      <c r="F27" s="66"/>
      <c r="G27" s="67"/>
      <c r="H27" s="63"/>
    </row>
    <row r="28" spans="1:8" outlineLevel="1" x14ac:dyDescent="0.3">
      <c r="A28" s="89" t="s">
        <v>40</v>
      </c>
      <c r="B28" s="60">
        <v>1286.1600000000001</v>
      </c>
      <c r="C28" s="61">
        <v>0</v>
      </c>
      <c r="D28" s="61">
        <v>0</v>
      </c>
      <c r="E28" s="78"/>
      <c r="F28" s="66"/>
      <c r="G28" s="67"/>
      <c r="H28" s="63" t="s">
        <v>118</v>
      </c>
    </row>
    <row r="29" spans="1:8" ht="56" outlineLevel="1" x14ac:dyDescent="0.3">
      <c r="A29" s="89" t="s">
        <v>39</v>
      </c>
      <c r="B29" s="60">
        <v>27713.63</v>
      </c>
      <c r="C29" s="61">
        <v>1815.89</v>
      </c>
      <c r="D29" s="61">
        <v>6400.87</v>
      </c>
      <c r="E29" s="78">
        <v>30000</v>
      </c>
      <c r="F29" s="63" t="s">
        <v>95</v>
      </c>
      <c r="G29" s="63" t="s">
        <v>96</v>
      </c>
      <c r="H29" s="96" t="s">
        <v>163</v>
      </c>
    </row>
    <row r="30" spans="1:8" ht="28" outlineLevel="1" x14ac:dyDescent="0.3">
      <c r="A30" s="89" t="s">
        <v>38</v>
      </c>
      <c r="B30" s="60">
        <v>1742.04</v>
      </c>
      <c r="C30" s="61">
        <v>0</v>
      </c>
      <c r="D30" s="61">
        <v>837.86</v>
      </c>
      <c r="E30" s="78">
        <f>ROUNDUP(D30/7*12*1.5,-2)</f>
        <v>2200</v>
      </c>
      <c r="F30" s="63" t="s">
        <v>82</v>
      </c>
      <c r="G30" s="63" t="s">
        <v>82</v>
      </c>
      <c r="H30" s="63" t="s">
        <v>117</v>
      </c>
    </row>
    <row r="31" spans="1:8" ht="28" outlineLevel="1" x14ac:dyDescent="0.3">
      <c r="A31" s="89" t="s">
        <v>37</v>
      </c>
      <c r="B31" s="60">
        <v>15913.25</v>
      </c>
      <c r="C31" s="61">
        <v>0</v>
      </c>
      <c r="D31" s="61">
        <v>8068.75</v>
      </c>
      <c r="E31" s="78">
        <f>ROUNDUP(D31/7*12*1.2,-2)</f>
        <v>16600</v>
      </c>
      <c r="F31" s="63" t="s">
        <v>89</v>
      </c>
      <c r="G31" s="63" t="s">
        <v>89</v>
      </c>
      <c r="H31" s="96" t="s">
        <v>164</v>
      </c>
    </row>
    <row r="32" spans="1:8" outlineLevel="1" x14ac:dyDescent="0.3">
      <c r="A32" s="89" t="s">
        <v>36</v>
      </c>
      <c r="B32" s="60">
        <v>830.66</v>
      </c>
      <c r="C32" s="72"/>
      <c r="D32" s="72"/>
      <c r="E32" s="79"/>
      <c r="F32" s="62" t="s">
        <v>99</v>
      </c>
    </row>
    <row r="33" spans="1:8" x14ac:dyDescent="0.3">
      <c r="A33" s="64" t="s">
        <v>35</v>
      </c>
      <c r="B33" s="65">
        <f>SUM(B26:B32)</f>
        <v>77391</v>
      </c>
      <c r="C33" s="65">
        <f t="shared" ref="C33:D33" si="1">SUM(C26:C32)</f>
        <v>4515.5</v>
      </c>
      <c r="D33" s="65">
        <f t="shared" si="1"/>
        <v>32537.940000000002</v>
      </c>
      <c r="E33" s="65">
        <f>SUM(E25:E32)</f>
        <v>117900</v>
      </c>
      <c r="F33" s="66"/>
      <c r="G33" s="67"/>
      <c r="H33" s="63"/>
    </row>
    <row r="34" spans="1:8" outlineLevel="1" x14ac:dyDescent="0.3">
      <c r="A34" s="68"/>
      <c r="B34" s="69"/>
      <c r="C34" s="70"/>
      <c r="D34" s="70"/>
      <c r="E34" s="70"/>
      <c r="F34" s="54"/>
      <c r="G34" s="71"/>
      <c r="H34" s="94"/>
    </row>
    <row r="35" spans="1:8" outlineLevel="1" x14ac:dyDescent="0.3">
      <c r="A35" s="58" t="s">
        <v>34</v>
      </c>
      <c r="B35" s="59"/>
      <c r="C35" s="72"/>
      <c r="D35" s="72"/>
      <c r="E35" s="72"/>
    </row>
    <row r="36" spans="1:8" outlineLevel="1" x14ac:dyDescent="0.3">
      <c r="A36" s="89" t="s">
        <v>123</v>
      </c>
      <c r="B36" s="60">
        <v>214</v>
      </c>
      <c r="C36" s="61">
        <v>0</v>
      </c>
      <c r="D36" s="61">
        <v>0</v>
      </c>
      <c r="E36" s="78">
        <v>500</v>
      </c>
      <c r="F36" s="66" t="s">
        <v>97</v>
      </c>
      <c r="G36" s="67"/>
      <c r="H36" s="63" t="s">
        <v>126</v>
      </c>
    </row>
    <row r="37" spans="1:8" ht="19.5" customHeight="1" outlineLevel="1" x14ac:dyDescent="0.3">
      <c r="A37" s="89" t="s">
        <v>32</v>
      </c>
      <c r="B37" s="60">
        <v>676.47</v>
      </c>
      <c r="C37" s="72"/>
      <c r="D37" s="72"/>
      <c r="E37" s="78">
        <v>1500</v>
      </c>
      <c r="F37" s="66"/>
      <c r="H37" s="63" t="s">
        <v>125</v>
      </c>
    </row>
    <row r="38" spans="1:8" ht="35" customHeight="1" outlineLevel="1" x14ac:dyDescent="0.3">
      <c r="A38" s="89" t="s">
        <v>31</v>
      </c>
      <c r="B38" s="60">
        <v>0</v>
      </c>
      <c r="C38" s="61">
        <v>0</v>
      </c>
      <c r="D38" s="61">
        <v>0</v>
      </c>
      <c r="E38" s="78"/>
      <c r="F38" s="66"/>
      <c r="G38" s="67"/>
      <c r="H38" s="63" t="s">
        <v>120</v>
      </c>
    </row>
    <row r="39" spans="1:8" ht="19" customHeight="1" outlineLevel="1" x14ac:dyDescent="0.3">
      <c r="A39" s="89" t="s">
        <v>30</v>
      </c>
      <c r="B39" s="60">
        <v>0</v>
      </c>
      <c r="C39" s="61">
        <v>0</v>
      </c>
      <c r="D39" s="61">
        <v>0</v>
      </c>
      <c r="E39" s="78"/>
      <c r="F39" s="66"/>
      <c r="G39" s="67"/>
      <c r="H39" s="63" t="s">
        <v>153</v>
      </c>
    </row>
    <row r="40" spans="1:8" x14ac:dyDescent="0.3">
      <c r="A40" s="64" t="s">
        <v>29</v>
      </c>
      <c r="B40" s="65">
        <f>SUM(B36:B39)</f>
        <v>890.47</v>
      </c>
      <c r="C40" s="65">
        <f t="shared" ref="C40:E40" si="2">SUM(C36:C39)</f>
        <v>0</v>
      </c>
      <c r="D40" s="65">
        <f t="shared" si="2"/>
        <v>0</v>
      </c>
      <c r="E40" s="65">
        <f t="shared" si="2"/>
        <v>2000</v>
      </c>
      <c r="F40" s="66"/>
      <c r="G40" s="67"/>
      <c r="H40" s="63"/>
    </row>
    <row r="41" spans="1:8" outlineLevel="1" x14ac:dyDescent="0.3">
      <c r="A41" s="68"/>
      <c r="B41" s="69"/>
      <c r="C41" s="70"/>
      <c r="D41" s="70"/>
      <c r="E41" s="70"/>
      <c r="F41" s="54"/>
      <c r="G41" s="71"/>
      <c r="H41" s="94"/>
    </row>
    <row r="42" spans="1:8" outlineLevel="1" x14ac:dyDescent="0.3">
      <c r="A42" s="58" t="s">
        <v>28</v>
      </c>
      <c r="B42" s="59"/>
      <c r="C42" s="72"/>
      <c r="D42" s="72"/>
      <c r="E42" s="72"/>
    </row>
    <row r="43" spans="1:8" outlineLevel="1" x14ac:dyDescent="0.3">
      <c r="A43" s="89" t="s">
        <v>27</v>
      </c>
      <c r="B43" s="60">
        <v>0</v>
      </c>
      <c r="C43" s="61">
        <v>0</v>
      </c>
      <c r="D43" s="61">
        <v>0</v>
      </c>
      <c r="E43" s="78">
        <v>0</v>
      </c>
      <c r="F43" s="66"/>
      <c r="G43" s="67"/>
      <c r="H43" s="63"/>
    </row>
    <row r="44" spans="1:8" outlineLevel="1" x14ac:dyDescent="0.3">
      <c r="A44" s="89" t="s">
        <v>26</v>
      </c>
      <c r="B44" s="60">
        <v>217.6</v>
      </c>
      <c r="C44" s="61">
        <v>0</v>
      </c>
      <c r="D44" s="61">
        <v>163.36000000000001</v>
      </c>
      <c r="E44" s="78">
        <v>250</v>
      </c>
      <c r="F44" s="66"/>
      <c r="G44" s="67"/>
      <c r="H44" s="63"/>
    </row>
    <row r="45" spans="1:8" ht="38" customHeight="1" outlineLevel="1" x14ac:dyDescent="0.3">
      <c r="A45" s="89" t="s">
        <v>25</v>
      </c>
      <c r="B45" s="60">
        <v>119.4</v>
      </c>
      <c r="C45" s="61">
        <v>143.4</v>
      </c>
      <c r="D45" s="61">
        <v>143.4</v>
      </c>
      <c r="E45" s="78">
        <v>0</v>
      </c>
      <c r="F45" s="63" t="s">
        <v>83</v>
      </c>
      <c r="G45" s="63" t="s">
        <v>83</v>
      </c>
      <c r="H45" s="96" t="s">
        <v>165</v>
      </c>
    </row>
    <row r="46" spans="1:8" ht="35.5" customHeight="1" outlineLevel="1" x14ac:dyDescent="0.3">
      <c r="A46" s="89" t="s">
        <v>24</v>
      </c>
      <c r="B46" s="60">
        <v>250</v>
      </c>
      <c r="C46" s="61">
        <v>0</v>
      </c>
      <c r="D46" s="61">
        <v>0</v>
      </c>
      <c r="E46" s="78">
        <v>0</v>
      </c>
      <c r="F46" s="66"/>
      <c r="G46" s="67"/>
      <c r="H46" s="96" t="s">
        <v>165</v>
      </c>
    </row>
    <row r="47" spans="1:8" x14ac:dyDescent="0.3">
      <c r="A47" s="64" t="s">
        <v>23</v>
      </c>
      <c r="B47" s="65">
        <f>SUM(B43:B46)</f>
        <v>587</v>
      </c>
      <c r="C47" s="65">
        <f t="shared" ref="C47:E47" si="3">SUM(C43:C46)</f>
        <v>143.4</v>
      </c>
      <c r="D47" s="65">
        <f t="shared" si="3"/>
        <v>306.76</v>
      </c>
      <c r="E47" s="65">
        <f t="shared" si="3"/>
        <v>250</v>
      </c>
      <c r="F47" s="66"/>
      <c r="G47" s="67"/>
      <c r="H47" s="63"/>
    </row>
    <row r="48" spans="1:8" outlineLevel="1" x14ac:dyDescent="0.3">
      <c r="A48" s="68"/>
      <c r="B48" s="69"/>
      <c r="C48" s="70"/>
      <c r="D48" s="70"/>
      <c r="E48" s="70"/>
      <c r="F48" s="54"/>
      <c r="G48" s="71"/>
      <c r="H48" s="94"/>
    </row>
    <row r="49" spans="1:8" outlineLevel="1" x14ac:dyDescent="0.3">
      <c r="A49" s="58" t="s">
        <v>22</v>
      </c>
      <c r="B49" s="59"/>
      <c r="C49" s="72"/>
      <c r="D49" s="72"/>
      <c r="E49" s="72"/>
    </row>
    <row r="50" spans="1:8" ht="38" customHeight="1" outlineLevel="1" x14ac:dyDescent="0.3">
      <c r="A50" s="89" t="s">
        <v>21</v>
      </c>
      <c r="B50" s="60">
        <v>13204.37</v>
      </c>
      <c r="C50" s="61">
        <v>2939.13</v>
      </c>
      <c r="D50" s="61">
        <v>20201.95</v>
      </c>
      <c r="E50" s="78">
        <v>0</v>
      </c>
      <c r="F50" s="66"/>
      <c r="G50" s="67" t="s">
        <v>84</v>
      </c>
      <c r="H50" s="63" t="s">
        <v>152</v>
      </c>
    </row>
    <row r="51" spans="1:8" outlineLevel="1" x14ac:dyDescent="0.3">
      <c r="A51" s="89" t="s">
        <v>20</v>
      </c>
      <c r="B51" s="60">
        <v>0</v>
      </c>
      <c r="C51" s="61">
        <v>0</v>
      </c>
      <c r="D51" s="61">
        <v>0</v>
      </c>
      <c r="E51" s="78">
        <v>500</v>
      </c>
      <c r="F51" s="66"/>
      <c r="G51" s="67"/>
      <c r="H51" s="63" t="s">
        <v>124</v>
      </c>
    </row>
    <row r="52" spans="1:8" outlineLevel="1" x14ac:dyDescent="0.3">
      <c r="A52" s="89" t="s">
        <v>19</v>
      </c>
      <c r="B52" s="60">
        <v>2400</v>
      </c>
      <c r="C52" s="61">
        <v>200</v>
      </c>
      <c r="D52" s="61">
        <v>1400</v>
      </c>
      <c r="E52" s="78">
        <v>0</v>
      </c>
      <c r="F52" s="63" t="s">
        <v>86</v>
      </c>
      <c r="G52" s="63" t="s">
        <v>86</v>
      </c>
      <c r="H52" s="63" t="s">
        <v>119</v>
      </c>
    </row>
    <row r="53" spans="1:8" outlineLevel="1" x14ac:dyDescent="0.3">
      <c r="A53" s="89" t="s">
        <v>18</v>
      </c>
      <c r="B53" s="60">
        <v>306.87</v>
      </c>
      <c r="C53" s="61">
        <v>0</v>
      </c>
      <c r="D53" s="61">
        <v>0</v>
      </c>
      <c r="E53" s="78">
        <v>1000</v>
      </c>
      <c r="F53" s="66"/>
      <c r="G53" s="67"/>
      <c r="H53" s="63" t="s">
        <v>121</v>
      </c>
    </row>
    <row r="54" spans="1:8" ht="28" outlineLevel="1" x14ac:dyDescent="0.3">
      <c r="A54" s="89" t="s">
        <v>17</v>
      </c>
      <c r="B54" s="60">
        <v>1519.42</v>
      </c>
      <c r="C54" s="61">
        <v>48.18</v>
      </c>
      <c r="D54" s="61">
        <v>569.82000000000005</v>
      </c>
      <c r="E54" s="78">
        <v>3000</v>
      </c>
      <c r="F54" s="63" t="s">
        <v>90</v>
      </c>
      <c r="G54" s="63" t="s">
        <v>90</v>
      </c>
      <c r="H54" s="63" t="s">
        <v>127</v>
      </c>
    </row>
    <row r="55" spans="1:8" x14ac:dyDescent="0.3">
      <c r="A55" s="64" t="s">
        <v>16</v>
      </c>
      <c r="B55" s="65">
        <f>SUM(B50:B54)</f>
        <v>17430.660000000003</v>
      </c>
      <c r="C55" s="65">
        <f t="shared" ref="C55:E55" si="4">SUM(C50:C54)</f>
        <v>3187.31</v>
      </c>
      <c r="D55" s="65">
        <f t="shared" si="4"/>
        <v>22171.77</v>
      </c>
      <c r="E55" s="65">
        <f t="shared" si="4"/>
        <v>4500</v>
      </c>
      <c r="F55" s="66"/>
      <c r="G55" s="67"/>
      <c r="H55" s="63"/>
    </row>
    <row r="56" spans="1:8" outlineLevel="1" x14ac:dyDescent="0.3">
      <c r="A56" s="68"/>
      <c r="B56" s="69"/>
      <c r="C56" s="70"/>
      <c r="D56" s="70"/>
      <c r="E56" s="70"/>
      <c r="F56" s="54"/>
      <c r="G56" s="71"/>
      <c r="H56" s="94"/>
    </row>
    <row r="57" spans="1:8" outlineLevel="1" x14ac:dyDescent="0.3">
      <c r="A57" s="58" t="s">
        <v>15</v>
      </c>
      <c r="B57" s="59"/>
      <c r="C57" s="72"/>
      <c r="D57" s="72"/>
      <c r="E57" s="72"/>
    </row>
    <row r="58" spans="1:8" ht="28" outlineLevel="1" x14ac:dyDescent="0.3">
      <c r="A58" s="90" t="s">
        <v>128</v>
      </c>
      <c r="B58" s="60">
        <v>0</v>
      </c>
      <c r="C58" s="61">
        <v>0</v>
      </c>
      <c r="D58" s="61">
        <v>0</v>
      </c>
      <c r="E58" s="78">
        <v>3000</v>
      </c>
      <c r="F58" s="66"/>
      <c r="G58" s="67"/>
      <c r="H58" s="63" t="s">
        <v>129</v>
      </c>
    </row>
    <row r="59" spans="1:8" outlineLevel="1" x14ac:dyDescent="0.3">
      <c r="A59" s="90" t="s">
        <v>158</v>
      </c>
      <c r="B59" s="60"/>
      <c r="C59" s="61"/>
      <c r="D59" s="61"/>
      <c r="E59" s="78">
        <v>0</v>
      </c>
      <c r="F59" s="66"/>
      <c r="G59" s="67"/>
      <c r="H59" s="96" t="s">
        <v>166</v>
      </c>
    </row>
    <row r="60" spans="1:8" x14ac:dyDescent="0.3">
      <c r="A60" s="64" t="s">
        <v>13</v>
      </c>
      <c r="B60" s="65">
        <f>SUM(B58)</f>
        <v>0</v>
      </c>
      <c r="C60" s="65">
        <f t="shared" ref="C60:D60" si="5">SUM(C58)</f>
        <v>0</v>
      </c>
      <c r="D60" s="65">
        <f t="shared" si="5"/>
        <v>0</v>
      </c>
      <c r="E60" s="65">
        <f>SUM(E58:E59)</f>
        <v>3000</v>
      </c>
      <c r="F60" s="66"/>
      <c r="G60" s="67"/>
      <c r="H60" s="63"/>
    </row>
    <row r="61" spans="1:8" outlineLevel="1" x14ac:dyDescent="0.3">
      <c r="A61" s="68"/>
      <c r="B61" s="69"/>
      <c r="C61" s="70"/>
      <c r="D61" s="70"/>
      <c r="E61" s="70"/>
      <c r="F61" s="54"/>
      <c r="G61" s="71"/>
      <c r="H61" s="94"/>
    </row>
    <row r="62" spans="1:8" outlineLevel="1" x14ac:dyDescent="0.3">
      <c r="A62" s="58" t="s">
        <v>12</v>
      </c>
      <c r="B62" s="59"/>
      <c r="C62" s="72"/>
      <c r="D62" s="72"/>
      <c r="E62" s="72"/>
    </row>
    <row r="63" spans="1:8" outlineLevel="1" x14ac:dyDescent="0.3">
      <c r="A63" s="89" t="s">
        <v>11</v>
      </c>
      <c r="B63" s="60">
        <v>0</v>
      </c>
      <c r="C63" s="61">
        <v>0</v>
      </c>
      <c r="D63" s="61">
        <v>0</v>
      </c>
      <c r="E63" s="78">
        <v>1000</v>
      </c>
      <c r="F63" s="66"/>
      <c r="G63" s="67"/>
      <c r="H63" s="63" t="s">
        <v>130</v>
      </c>
    </row>
    <row r="64" spans="1:8" outlineLevel="1" x14ac:dyDescent="0.3">
      <c r="A64" s="89" t="s">
        <v>10</v>
      </c>
      <c r="B64" s="60">
        <v>0</v>
      </c>
      <c r="C64" s="61">
        <v>0</v>
      </c>
      <c r="D64" s="61">
        <v>0</v>
      </c>
      <c r="E64" s="78">
        <v>0</v>
      </c>
      <c r="F64" s="66"/>
      <c r="G64" s="67"/>
      <c r="H64" s="96" t="s">
        <v>165</v>
      </c>
    </row>
    <row r="65" spans="1:8" ht="28" outlineLevel="1" x14ac:dyDescent="0.3">
      <c r="A65" s="89" t="s">
        <v>9</v>
      </c>
      <c r="B65" s="60">
        <v>2026.66</v>
      </c>
      <c r="C65" s="61">
        <v>0</v>
      </c>
      <c r="D65" s="61">
        <v>0</v>
      </c>
      <c r="E65" s="78">
        <v>2100</v>
      </c>
      <c r="F65" s="62" t="s">
        <v>98</v>
      </c>
      <c r="G65" s="67"/>
      <c r="H65" s="63" t="s">
        <v>154</v>
      </c>
    </row>
    <row r="66" spans="1:8" outlineLevel="1" x14ac:dyDescent="0.3">
      <c r="A66" s="89" t="s">
        <v>8</v>
      </c>
      <c r="B66" s="60">
        <v>683.71</v>
      </c>
      <c r="C66" s="61">
        <v>19.989999999999998</v>
      </c>
      <c r="D66" s="61">
        <v>216.33</v>
      </c>
      <c r="E66" s="78">
        <v>500</v>
      </c>
      <c r="F66" s="66"/>
      <c r="G66" s="67"/>
      <c r="H66" s="63"/>
    </row>
    <row r="67" spans="1:8" outlineLevel="1" x14ac:dyDescent="0.3">
      <c r="A67" s="89" t="s">
        <v>7</v>
      </c>
      <c r="B67" s="60">
        <v>79</v>
      </c>
      <c r="C67" s="61">
        <v>0</v>
      </c>
      <c r="D67" s="61">
        <v>0</v>
      </c>
      <c r="E67" s="78">
        <v>500</v>
      </c>
      <c r="F67" s="66"/>
      <c r="G67" s="67"/>
      <c r="H67" s="63"/>
    </row>
    <row r="68" spans="1:8" outlineLevel="1" x14ac:dyDescent="0.3">
      <c r="A68" s="89" t="s">
        <v>6</v>
      </c>
      <c r="B68" s="60">
        <v>3395.9</v>
      </c>
      <c r="C68" s="61">
        <v>258.44</v>
      </c>
      <c r="D68" s="61">
        <v>1855.87</v>
      </c>
      <c r="E68" s="78">
        <v>5000</v>
      </c>
      <c r="F68" s="63" t="s">
        <v>87</v>
      </c>
      <c r="G68" s="63" t="s">
        <v>87</v>
      </c>
      <c r="H68" s="63" t="s">
        <v>155</v>
      </c>
    </row>
    <row r="69" spans="1:8" x14ac:dyDescent="0.3">
      <c r="A69" s="64" t="s">
        <v>5</v>
      </c>
      <c r="B69" s="65">
        <f>SUM(B63:B68)</f>
        <v>6185.27</v>
      </c>
      <c r="C69" s="65">
        <f t="shared" ref="C69:E69" si="6">SUM(C63:C68)</f>
        <v>278.43</v>
      </c>
      <c r="D69" s="65">
        <f t="shared" si="6"/>
        <v>2072.1999999999998</v>
      </c>
      <c r="E69" s="65">
        <f t="shared" si="6"/>
        <v>9100</v>
      </c>
      <c r="F69" s="66"/>
      <c r="G69" s="67"/>
      <c r="H69" s="63"/>
    </row>
    <row r="70" spans="1:8" outlineLevel="1" x14ac:dyDescent="0.3">
      <c r="A70" s="68"/>
      <c r="B70" s="69"/>
      <c r="C70" s="70"/>
      <c r="D70" s="70"/>
      <c r="E70" s="70"/>
      <c r="F70" s="54"/>
      <c r="G70" s="71"/>
      <c r="H70" s="94"/>
    </row>
    <row r="71" spans="1:8" outlineLevel="1" x14ac:dyDescent="0.3">
      <c r="A71" s="58" t="s">
        <v>4</v>
      </c>
      <c r="B71" s="59"/>
      <c r="C71" s="72"/>
      <c r="D71" s="72"/>
      <c r="E71" s="72"/>
    </row>
    <row r="72" spans="1:8" outlineLevel="1" x14ac:dyDescent="0.3">
      <c r="A72" s="89" t="s">
        <v>3</v>
      </c>
      <c r="B72" s="60">
        <v>6000</v>
      </c>
      <c r="C72" s="61">
        <v>0</v>
      </c>
      <c r="D72" s="61">
        <v>3000</v>
      </c>
      <c r="E72" s="78">
        <v>0</v>
      </c>
      <c r="F72" s="63" t="s">
        <v>88</v>
      </c>
      <c r="G72" s="63" t="s">
        <v>88</v>
      </c>
      <c r="H72" s="96" t="s">
        <v>167</v>
      </c>
    </row>
    <row r="73" spans="1:8" outlineLevel="1" x14ac:dyDescent="0.3">
      <c r="A73" s="89" t="s">
        <v>145</v>
      </c>
      <c r="B73" s="60"/>
      <c r="C73" s="61"/>
      <c r="D73" s="61"/>
      <c r="E73" s="78">
        <f>4000</f>
        <v>4000</v>
      </c>
      <c r="F73" s="63"/>
      <c r="G73" s="63"/>
      <c r="H73" s="63" t="s">
        <v>146</v>
      </c>
    </row>
    <row r="74" spans="1:8" x14ac:dyDescent="0.3">
      <c r="A74" s="64" t="s">
        <v>2</v>
      </c>
      <c r="B74" s="65">
        <f>SUM(B72:B73)</f>
        <v>6000</v>
      </c>
      <c r="C74" s="65">
        <f t="shared" ref="C74" si="7">SUM(C72)</f>
        <v>0</v>
      </c>
      <c r="D74" s="65">
        <f t="shared" ref="D74:E74" si="8">SUM(D72:D73)</f>
        <v>3000</v>
      </c>
      <c r="E74" s="65">
        <f t="shared" si="8"/>
        <v>4000</v>
      </c>
      <c r="F74" s="66"/>
      <c r="G74" s="67"/>
      <c r="H74" s="63"/>
    </row>
    <row r="75" spans="1:8" x14ac:dyDescent="0.3">
      <c r="A75" s="68"/>
      <c r="B75" s="69"/>
      <c r="C75" s="70"/>
      <c r="D75" s="70"/>
      <c r="E75" s="70"/>
      <c r="F75" s="54"/>
      <c r="G75" s="71"/>
      <c r="H75" s="94"/>
    </row>
    <row r="76" spans="1:8" x14ac:dyDescent="0.3">
      <c r="A76" s="64" t="s">
        <v>1</v>
      </c>
      <c r="B76" s="65">
        <f>B22+B33+B40+B47+B55+B60+B69+B74</f>
        <v>154813.75</v>
      </c>
      <c r="C76" s="65">
        <f t="shared" ref="C76:E76" si="9">C22+C33+C40+C47+C55+C60+C69+C74</f>
        <v>10475.27</v>
      </c>
      <c r="D76" s="65">
        <f t="shared" si="9"/>
        <v>74168.259999999995</v>
      </c>
      <c r="E76" s="65">
        <f t="shared" si="9"/>
        <v>155350</v>
      </c>
      <c r="F76" s="66"/>
      <c r="G76" s="67"/>
      <c r="H76" s="63"/>
    </row>
    <row r="77" spans="1:8" x14ac:dyDescent="0.3">
      <c r="A77" s="68"/>
      <c r="B77" s="69"/>
      <c r="C77" s="70"/>
      <c r="D77" s="70"/>
      <c r="E77" s="70"/>
      <c r="F77" s="54"/>
      <c r="G77" s="71"/>
      <c r="H77" s="94"/>
    </row>
    <row r="78" spans="1:8" ht="14.5" thickBot="1" x14ac:dyDescent="0.35">
      <c r="A78" s="73" t="s">
        <v>0</v>
      </c>
      <c r="B78" s="74">
        <f>B11-B76</f>
        <v>30370.059999999998</v>
      </c>
      <c r="C78" s="74">
        <f t="shared" ref="C78:E78" si="10">C11-C76</f>
        <v>9230.7599999999984</v>
      </c>
      <c r="D78" s="74">
        <f t="shared" si="10"/>
        <v>36333.42</v>
      </c>
      <c r="E78" s="74">
        <f t="shared" si="10"/>
        <v>85350</v>
      </c>
      <c r="F78" s="66"/>
      <c r="G78" s="67"/>
      <c r="H78" s="63"/>
    </row>
    <row r="79" spans="1:8" ht="14.5" thickTop="1" x14ac:dyDescent="0.3">
      <c r="B79" s="59"/>
    </row>
    <row r="80" spans="1:8" x14ac:dyDescent="0.3">
      <c r="B80" s="59"/>
    </row>
    <row r="81" spans="2:2" x14ac:dyDescent="0.3">
      <c r="B81" s="59"/>
    </row>
    <row r="82" spans="2:2" x14ac:dyDescent="0.3">
      <c r="B82" s="59"/>
    </row>
    <row r="83" spans="2:2" x14ac:dyDescent="0.3">
      <c r="B83" s="59"/>
    </row>
    <row r="84" spans="2:2" x14ac:dyDescent="0.3">
      <c r="B84" s="59"/>
    </row>
    <row r="85" spans="2:2" x14ac:dyDescent="0.3">
      <c r="B85" s="59"/>
    </row>
    <row r="86" spans="2:2" x14ac:dyDescent="0.3">
      <c r="B86" s="59"/>
    </row>
    <row r="87" spans="2:2" x14ac:dyDescent="0.3">
      <c r="B87" s="59"/>
    </row>
    <row r="88" spans="2:2" x14ac:dyDescent="0.3">
      <c r="B88" s="59"/>
    </row>
    <row r="89" spans="2:2" x14ac:dyDescent="0.3">
      <c r="B89" s="59"/>
    </row>
    <row r="90" spans="2:2" x14ac:dyDescent="0.3">
      <c r="B90" s="59"/>
    </row>
    <row r="91" spans="2:2" x14ac:dyDescent="0.3">
      <c r="B91" s="59"/>
    </row>
    <row r="92" spans="2:2" x14ac:dyDescent="0.3">
      <c r="B92" s="59"/>
    </row>
  </sheetData>
  <printOptions gridLines="1"/>
  <pageMargins left="0.7" right="0.7" top="0.75" bottom="0.75" header="0.3" footer="0.3"/>
  <pageSetup scale="63" fitToHeight="0" orientation="landscape" verticalDpi="1200" r:id="rId1"/>
  <customProperties>
    <customPr name="layoutContexts" r:id="rId2"/>
    <customPr name="pages" r:id="rId3"/>
    <customPr name="screen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914A3-77D3-470D-B026-994E76D85CAE}">
  <dimension ref="B4:D16"/>
  <sheetViews>
    <sheetView showGridLines="0" workbookViewId="0">
      <selection activeCell="D5" sqref="D5"/>
    </sheetView>
  </sheetViews>
  <sheetFormatPr defaultRowHeight="14" x14ac:dyDescent="0.3"/>
  <cols>
    <col min="2" max="2" width="9.6640625" style="82" bestFit="1" customWidth="1"/>
    <col min="3" max="3" width="10.4140625" style="83" bestFit="1" customWidth="1"/>
    <col min="4" max="4" width="9.6640625" style="83" bestFit="1" customWidth="1"/>
  </cols>
  <sheetData>
    <row r="4" spans="2:4" ht="14.5" thickBot="1" x14ac:dyDescent="0.35">
      <c r="B4" s="85" t="s">
        <v>100</v>
      </c>
      <c r="C4" s="86" t="s">
        <v>134</v>
      </c>
      <c r="D4" s="86" t="s">
        <v>135</v>
      </c>
    </row>
    <row r="5" spans="2:4" x14ac:dyDescent="0.3">
      <c r="B5" s="82" t="s">
        <v>132</v>
      </c>
      <c r="C5" s="83">
        <v>75</v>
      </c>
      <c r="D5" s="83">
        <f>'Summary View'!E6</f>
        <v>125500</v>
      </c>
    </row>
    <row r="6" spans="2:4" x14ac:dyDescent="0.3">
      <c r="B6" s="82" t="s">
        <v>133</v>
      </c>
      <c r="C6" s="83">
        <v>75</v>
      </c>
      <c r="D6" s="83">
        <f>'Summary View'!B6-'Summary View'!B8</f>
        <v>122115.89000000001</v>
      </c>
    </row>
    <row r="7" spans="2:4" x14ac:dyDescent="0.3">
      <c r="B7" s="82" t="s">
        <v>136</v>
      </c>
      <c r="C7" s="87">
        <v>75</v>
      </c>
      <c r="D7" s="83">
        <f>$D$6/$C$6*C7/4</f>
        <v>30528.972500000003</v>
      </c>
    </row>
    <row r="8" spans="2:4" x14ac:dyDescent="0.3">
      <c r="B8" s="84" t="s">
        <v>137</v>
      </c>
      <c r="C8" s="87">
        <v>75</v>
      </c>
      <c r="D8" s="83">
        <f t="shared" ref="D8:D12" si="0">$D$6/$C$6*C8/4</f>
        <v>30528.972500000003</v>
      </c>
    </row>
    <row r="9" spans="2:4" x14ac:dyDescent="0.3">
      <c r="B9" s="84" t="s">
        <v>138</v>
      </c>
      <c r="C9" s="87">
        <v>100</v>
      </c>
      <c r="D9" s="83">
        <f t="shared" si="0"/>
        <v>40705.296666666669</v>
      </c>
    </row>
    <row r="10" spans="2:4" x14ac:dyDescent="0.3">
      <c r="B10" s="84" t="s">
        <v>139</v>
      </c>
      <c r="C10" s="87">
        <v>125</v>
      </c>
      <c r="D10" s="83">
        <f t="shared" si="0"/>
        <v>50881.620833333334</v>
      </c>
    </row>
    <row r="11" spans="2:4" x14ac:dyDescent="0.3">
      <c r="B11" s="84" t="s">
        <v>140</v>
      </c>
      <c r="C11" s="87">
        <v>150</v>
      </c>
      <c r="D11" s="83">
        <f t="shared" si="0"/>
        <v>61057.945000000007</v>
      </c>
    </row>
    <row r="12" spans="2:4" x14ac:dyDescent="0.3">
      <c r="B12" s="82" t="s">
        <v>141</v>
      </c>
      <c r="C12" s="87">
        <v>175</v>
      </c>
      <c r="D12" s="83">
        <f t="shared" si="0"/>
        <v>71234.269166666665</v>
      </c>
    </row>
    <row r="15" spans="2:4" x14ac:dyDescent="0.3">
      <c r="B15" s="88" t="s">
        <v>142</v>
      </c>
    </row>
    <row r="16" spans="2:4" x14ac:dyDescent="0.3">
      <c r="B16" s="88" t="s">
        <v>143</v>
      </c>
    </row>
  </sheetData>
  <pageMargins left="0.7" right="0.7" top="0.75" bottom="0.75" header="0.3" footer="0.3"/>
  <customProperties>
    <customPr name="layoutContexts" r:id="rId1"/>
    <customPr name="pages" r:id="rId2"/>
    <customPr name="screen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B9EA-3AE8-414F-813D-2C699F883309}">
  <sheetPr>
    <tabColor theme="0" tint="-0.499984740745262"/>
  </sheetPr>
  <dimension ref="A1"/>
  <sheetViews>
    <sheetView zoomScale="115" zoomScaleNormal="115" workbookViewId="0"/>
  </sheetViews>
  <sheetFormatPr defaultRowHeight="14" x14ac:dyDescent="0.3"/>
  <sheetData/>
  <pageMargins left="0.7" right="0.7" top="0.75" bottom="0.75" header="0.3" footer="0.3"/>
  <customProperties>
    <customPr name="layoutContexts" r:id="rId1"/>
    <customPr name="pages" r:id="rId2"/>
    <customPr name="screen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480B-850E-47A8-B601-109156B40F66}">
  <sheetPr>
    <tabColor theme="0" tint="-0.499984740745262"/>
  </sheetPr>
  <dimension ref="A1:C70"/>
  <sheetViews>
    <sheetView topLeftCell="A10" zoomScale="130" zoomScaleNormal="130" workbookViewId="0">
      <selection activeCell="B3" sqref="B3"/>
    </sheetView>
  </sheetViews>
  <sheetFormatPr defaultColWidth="9" defaultRowHeight="14" x14ac:dyDescent="0.3"/>
  <cols>
    <col min="1" max="1" width="40.6640625" style="1" customWidth="1"/>
    <col min="2" max="2" width="17.6640625" style="3" customWidth="1"/>
    <col min="3" max="3" width="20.6640625" style="1" customWidth="1"/>
    <col min="4" max="16384" width="9" style="1"/>
  </cols>
  <sheetData>
    <row r="1" spans="1:3" s="13" customFormat="1" ht="28.5" thickBot="1" x14ac:dyDescent="0.35">
      <c r="A1" s="16" t="s">
        <v>60</v>
      </c>
      <c r="B1" s="15" t="s">
        <v>58</v>
      </c>
      <c r="C1" s="40" t="s">
        <v>78</v>
      </c>
    </row>
    <row r="2" spans="1:3" x14ac:dyDescent="0.3">
      <c r="A2" s="12" t="s">
        <v>57</v>
      </c>
    </row>
    <row r="3" spans="1:3" s="4" customFormat="1" ht="28" x14ac:dyDescent="0.3">
      <c r="A3" s="11" t="s">
        <v>56</v>
      </c>
      <c r="B3" s="2">
        <v>153649.85</v>
      </c>
      <c r="C3" s="38" t="s">
        <v>105</v>
      </c>
    </row>
    <row r="4" spans="1:3" s="4" customFormat="1" ht="28" x14ac:dyDescent="0.3">
      <c r="A4" s="11" t="s">
        <v>55</v>
      </c>
      <c r="B4" s="2">
        <v>31533.96</v>
      </c>
      <c r="C4" s="39" t="s">
        <v>75</v>
      </c>
    </row>
    <row r="5" spans="1:3" s="4" customFormat="1" x14ac:dyDescent="0.3">
      <c r="A5" s="10" t="s">
        <v>54</v>
      </c>
      <c r="B5" s="9">
        <v>185183.81</v>
      </c>
    </row>
    <row r="6" spans="1:3" customFormat="1" x14ac:dyDescent="0.3">
      <c r="A6" s="8"/>
      <c r="B6" s="7"/>
    </row>
    <row r="7" spans="1:3" x14ac:dyDescent="0.3">
      <c r="A7" s="12" t="s">
        <v>53</v>
      </c>
    </row>
    <row r="8" spans="1:3" s="4" customFormat="1" x14ac:dyDescent="0.3">
      <c r="A8" s="11" t="s">
        <v>52</v>
      </c>
      <c r="B8" s="2">
        <v>0</v>
      </c>
      <c r="C8" s="25" t="s">
        <v>85</v>
      </c>
    </row>
    <row r="9" spans="1:3" s="4" customFormat="1" ht="42" x14ac:dyDescent="0.3">
      <c r="A9" s="11" t="s">
        <v>51</v>
      </c>
      <c r="B9" s="2">
        <v>1364.6</v>
      </c>
      <c r="C9" s="39" t="s">
        <v>76</v>
      </c>
    </row>
    <row r="10" spans="1:3" s="4" customFormat="1" x14ac:dyDescent="0.3">
      <c r="A10" s="11" t="s">
        <v>50</v>
      </c>
      <c r="B10" s="2">
        <v>88.37</v>
      </c>
    </row>
    <row r="11" spans="1:3" s="4" customFormat="1" x14ac:dyDescent="0.3">
      <c r="A11" s="11" t="s">
        <v>49</v>
      </c>
      <c r="B11" s="2">
        <v>15600</v>
      </c>
      <c r="C11" s="4" t="s">
        <v>92</v>
      </c>
    </row>
    <row r="12" spans="1:3" s="4" customFormat="1" ht="28" x14ac:dyDescent="0.3">
      <c r="A12" s="11" t="s">
        <v>48</v>
      </c>
      <c r="B12" s="2">
        <v>8550</v>
      </c>
      <c r="C12" s="39" t="s">
        <v>94</v>
      </c>
    </row>
    <row r="13" spans="1:3" s="4" customFormat="1" ht="42" x14ac:dyDescent="0.3">
      <c r="A13" s="11" t="s">
        <v>47</v>
      </c>
      <c r="B13" s="2">
        <v>2626.4</v>
      </c>
      <c r="C13" s="38" t="s">
        <v>93</v>
      </c>
    </row>
    <row r="14" spans="1:3" s="4" customFormat="1" x14ac:dyDescent="0.3">
      <c r="A14" s="11" t="s">
        <v>46</v>
      </c>
      <c r="B14" s="2">
        <v>5100</v>
      </c>
      <c r="C14" s="4" t="s">
        <v>91</v>
      </c>
    </row>
    <row r="15" spans="1:3" s="4" customFormat="1" ht="28" x14ac:dyDescent="0.3">
      <c r="A15" s="11" t="s">
        <v>45</v>
      </c>
      <c r="B15" s="2">
        <v>12999.98</v>
      </c>
      <c r="C15" s="39" t="s">
        <v>80</v>
      </c>
    </row>
    <row r="16" spans="1:3" s="4" customFormat="1" x14ac:dyDescent="0.3">
      <c r="A16" s="10" t="s">
        <v>44</v>
      </c>
      <c r="B16" s="9">
        <v>46329.35</v>
      </c>
    </row>
    <row r="17" spans="1:3" customFormat="1" x14ac:dyDescent="0.3">
      <c r="A17" s="8"/>
      <c r="B17" s="7"/>
    </row>
    <row r="18" spans="1:3" x14ac:dyDescent="0.3">
      <c r="A18" s="12" t="s">
        <v>43</v>
      </c>
    </row>
    <row r="19" spans="1:3" s="4" customFormat="1" x14ac:dyDescent="0.3">
      <c r="A19" s="11" t="s">
        <v>42</v>
      </c>
      <c r="B19" s="2">
        <v>27403.22</v>
      </c>
      <c r="C19" s="25" t="s">
        <v>81</v>
      </c>
    </row>
    <row r="20" spans="1:3" s="4" customFormat="1" x14ac:dyDescent="0.3">
      <c r="A20" s="11" t="s">
        <v>41</v>
      </c>
      <c r="B20" s="2">
        <v>2502.04</v>
      </c>
    </row>
    <row r="21" spans="1:3" s="4" customFormat="1" x14ac:dyDescent="0.3">
      <c r="A21" s="11" t="s">
        <v>40</v>
      </c>
      <c r="B21" s="2">
        <v>1286.1600000000001</v>
      </c>
    </row>
    <row r="22" spans="1:3" s="4" customFormat="1" ht="84" x14ac:dyDescent="0.3">
      <c r="A22" s="11" t="s">
        <v>39</v>
      </c>
      <c r="B22" s="2">
        <v>27713.63</v>
      </c>
      <c r="C22" s="39" t="s">
        <v>95</v>
      </c>
    </row>
    <row r="23" spans="1:3" s="4" customFormat="1" ht="56" x14ac:dyDescent="0.3">
      <c r="A23" s="11" t="s">
        <v>38</v>
      </c>
      <c r="B23" s="2">
        <v>1742.04</v>
      </c>
      <c r="C23" s="39" t="s">
        <v>82</v>
      </c>
    </row>
    <row r="24" spans="1:3" s="4" customFormat="1" ht="42" x14ac:dyDescent="0.3">
      <c r="A24" s="11" t="s">
        <v>37</v>
      </c>
      <c r="B24" s="2">
        <v>15913.25</v>
      </c>
      <c r="C24" s="39" t="s">
        <v>89</v>
      </c>
    </row>
    <row r="25" spans="1:3" s="4" customFormat="1" ht="28" x14ac:dyDescent="0.3">
      <c r="A25" s="11" t="s">
        <v>36</v>
      </c>
      <c r="B25" s="2">
        <v>830.66</v>
      </c>
      <c r="C25" s="38" t="s">
        <v>99</v>
      </c>
    </row>
    <row r="26" spans="1:3" s="4" customFormat="1" x14ac:dyDescent="0.3">
      <c r="A26" s="10" t="s">
        <v>35</v>
      </c>
      <c r="B26" s="9">
        <v>77391</v>
      </c>
    </row>
    <row r="27" spans="1:3" customFormat="1" x14ac:dyDescent="0.3">
      <c r="A27" s="8"/>
      <c r="B27" s="7"/>
    </row>
    <row r="28" spans="1:3" x14ac:dyDescent="0.3">
      <c r="A28" s="12" t="s">
        <v>34</v>
      </c>
    </row>
    <row r="29" spans="1:3" s="4" customFormat="1" x14ac:dyDescent="0.3">
      <c r="A29" s="11" t="s">
        <v>33</v>
      </c>
      <c r="B29" s="2">
        <v>214</v>
      </c>
      <c r="C29" s="4" t="s">
        <v>97</v>
      </c>
    </row>
    <row r="30" spans="1:3" s="4" customFormat="1" x14ac:dyDescent="0.3">
      <c r="A30" s="11" t="s">
        <v>32</v>
      </c>
      <c r="B30" s="2">
        <v>676.47</v>
      </c>
    </row>
    <row r="31" spans="1:3" s="4" customFormat="1" x14ac:dyDescent="0.3">
      <c r="A31" s="11" t="s">
        <v>31</v>
      </c>
      <c r="B31" s="2">
        <v>0</v>
      </c>
    </row>
    <row r="32" spans="1:3" s="4" customFormat="1" x14ac:dyDescent="0.3">
      <c r="A32" s="11" t="s">
        <v>30</v>
      </c>
      <c r="B32" s="2">
        <v>0</v>
      </c>
    </row>
    <row r="33" spans="1:3" s="4" customFormat="1" x14ac:dyDescent="0.3">
      <c r="A33" s="10" t="s">
        <v>29</v>
      </c>
      <c r="B33" s="9">
        <v>890.47</v>
      </c>
    </row>
    <row r="34" spans="1:3" customFormat="1" x14ac:dyDescent="0.3">
      <c r="A34" s="8"/>
      <c r="B34" s="7"/>
    </row>
    <row r="35" spans="1:3" x14ac:dyDescent="0.3">
      <c r="A35" s="12" t="s">
        <v>28</v>
      </c>
    </row>
    <row r="36" spans="1:3" s="4" customFormat="1" x14ac:dyDescent="0.3">
      <c r="A36" s="11" t="s">
        <v>27</v>
      </c>
      <c r="B36" s="2">
        <v>0</v>
      </c>
    </row>
    <row r="37" spans="1:3" s="4" customFormat="1" x14ac:dyDescent="0.3">
      <c r="A37" s="11" t="s">
        <v>26</v>
      </c>
      <c r="B37" s="2">
        <v>217.6</v>
      </c>
    </row>
    <row r="38" spans="1:3" s="4" customFormat="1" ht="28" x14ac:dyDescent="0.3">
      <c r="A38" s="11" t="s">
        <v>25</v>
      </c>
      <c r="B38" s="2">
        <v>119.4</v>
      </c>
      <c r="C38" s="39" t="s">
        <v>83</v>
      </c>
    </row>
    <row r="39" spans="1:3" s="4" customFormat="1" x14ac:dyDescent="0.3">
      <c r="A39" s="11" t="s">
        <v>24</v>
      </c>
      <c r="B39" s="2">
        <v>250</v>
      </c>
    </row>
    <row r="40" spans="1:3" s="4" customFormat="1" x14ac:dyDescent="0.3">
      <c r="A40" s="10" t="s">
        <v>23</v>
      </c>
      <c r="B40" s="9">
        <v>587</v>
      </c>
    </row>
    <row r="41" spans="1:3" customFormat="1" x14ac:dyDescent="0.3">
      <c r="A41" s="8"/>
      <c r="B41" s="7"/>
    </row>
    <row r="42" spans="1:3" x14ac:dyDescent="0.3">
      <c r="A42" s="12" t="s">
        <v>22</v>
      </c>
    </row>
    <row r="43" spans="1:3" s="4" customFormat="1" x14ac:dyDescent="0.3">
      <c r="A43" s="11" t="s">
        <v>21</v>
      </c>
      <c r="B43" s="2">
        <v>13204.37</v>
      </c>
    </row>
    <row r="44" spans="1:3" s="4" customFormat="1" x14ac:dyDescent="0.3">
      <c r="A44" s="11" t="s">
        <v>20</v>
      </c>
      <c r="B44" s="2">
        <v>0</v>
      </c>
    </row>
    <row r="45" spans="1:3" s="4" customFormat="1" ht="28" x14ac:dyDescent="0.3">
      <c r="A45" s="11" t="s">
        <v>19</v>
      </c>
      <c r="B45" s="2">
        <v>2400</v>
      </c>
      <c r="C45" s="42" t="s">
        <v>86</v>
      </c>
    </row>
    <row r="46" spans="1:3" s="4" customFormat="1" x14ac:dyDescent="0.3">
      <c r="A46" s="11" t="s">
        <v>18</v>
      </c>
      <c r="B46" s="2">
        <v>306.87</v>
      </c>
    </row>
    <row r="47" spans="1:3" s="4" customFormat="1" ht="42" x14ac:dyDescent="0.3">
      <c r="A47" s="11" t="s">
        <v>17</v>
      </c>
      <c r="B47" s="2">
        <v>1519.42</v>
      </c>
      <c r="C47" s="39" t="s">
        <v>90</v>
      </c>
    </row>
    <row r="48" spans="1:3" s="4" customFormat="1" x14ac:dyDescent="0.3">
      <c r="A48" s="10" t="s">
        <v>16</v>
      </c>
      <c r="B48" s="9">
        <v>17430.66</v>
      </c>
    </row>
    <row r="49" spans="1:3" customFormat="1" x14ac:dyDescent="0.3">
      <c r="A49" s="8"/>
      <c r="B49" s="7"/>
    </row>
    <row r="50" spans="1:3" x14ac:dyDescent="0.3">
      <c r="A50" s="12" t="s">
        <v>15</v>
      </c>
    </row>
    <row r="51" spans="1:3" s="4" customFormat="1" x14ac:dyDescent="0.3">
      <c r="A51" s="11" t="s">
        <v>14</v>
      </c>
      <c r="B51" s="2">
        <v>0</v>
      </c>
    </row>
    <row r="52" spans="1:3" s="4" customFormat="1" x14ac:dyDescent="0.3">
      <c r="A52" s="10" t="s">
        <v>13</v>
      </c>
      <c r="B52" s="9">
        <v>0</v>
      </c>
    </row>
    <row r="53" spans="1:3" customFormat="1" x14ac:dyDescent="0.3">
      <c r="A53" s="8"/>
      <c r="B53" s="7"/>
    </row>
    <row r="54" spans="1:3" x14ac:dyDescent="0.3">
      <c r="A54" s="12" t="s">
        <v>12</v>
      </c>
    </row>
    <row r="55" spans="1:3" s="4" customFormat="1" x14ac:dyDescent="0.3">
      <c r="A55" s="11" t="s">
        <v>11</v>
      </c>
      <c r="B55" s="2">
        <v>0</v>
      </c>
    </row>
    <row r="56" spans="1:3" s="4" customFormat="1" x14ac:dyDescent="0.3">
      <c r="A56" s="11" t="s">
        <v>10</v>
      </c>
      <c r="B56" s="2">
        <v>0</v>
      </c>
    </row>
    <row r="57" spans="1:3" s="4" customFormat="1" ht="42" x14ac:dyDescent="0.3">
      <c r="A57" s="11" t="s">
        <v>9</v>
      </c>
      <c r="B57" s="2">
        <v>2026.66</v>
      </c>
      <c r="C57" s="38" t="s">
        <v>98</v>
      </c>
    </row>
    <row r="58" spans="1:3" s="4" customFormat="1" x14ac:dyDescent="0.3">
      <c r="A58" s="11" t="s">
        <v>8</v>
      </c>
      <c r="B58" s="2">
        <v>683.71</v>
      </c>
    </row>
    <row r="59" spans="1:3" s="4" customFormat="1" x14ac:dyDescent="0.3">
      <c r="A59" s="11" t="s">
        <v>7</v>
      </c>
      <c r="B59" s="2">
        <v>79</v>
      </c>
    </row>
    <row r="60" spans="1:3" s="4" customFormat="1" ht="28" x14ac:dyDescent="0.3">
      <c r="A60" s="11" t="s">
        <v>6</v>
      </c>
      <c r="B60" s="2">
        <v>3395.9</v>
      </c>
      <c r="C60" s="42" t="s">
        <v>87</v>
      </c>
    </row>
    <row r="61" spans="1:3" s="4" customFormat="1" x14ac:dyDescent="0.3">
      <c r="A61" s="10" t="s">
        <v>5</v>
      </c>
      <c r="B61" s="9">
        <v>6185.27</v>
      </c>
    </row>
    <row r="62" spans="1:3" customFormat="1" x14ac:dyDescent="0.3">
      <c r="A62" s="8"/>
      <c r="B62" s="7"/>
    </row>
    <row r="63" spans="1:3" x14ac:dyDescent="0.3">
      <c r="A63" s="12" t="s">
        <v>4</v>
      </c>
    </row>
    <row r="64" spans="1:3" s="4" customFormat="1" ht="42" x14ac:dyDescent="0.3">
      <c r="A64" s="11" t="s">
        <v>3</v>
      </c>
      <c r="B64" s="2">
        <v>6000</v>
      </c>
      <c r="C64" s="39" t="s">
        <v>88</v>
      </c>
    </row>
    <row r="65" spans="1:2" s="4" customFormat="1" x14ac:dyDescent="0.3">
      <c r="A65" s="10" t="s">
        <v>2</v>
      </c>
      <c r="B65" s="9">
        <v>6000</v>
      </c>
    </row>
    <row r="66" spans="1:2" customFormat="1" x14ac:dyDescent="0.3">
      <c r="A66" s="8"/>
      <c r="B66" s="7"/>
    </row>
    <row r="67" spans="1:2" s="4" customFormat="1" x14ac:dyDescent="0.3">
      <c r="A67" s="10" t="s">
        <v>1</v>
      </c>
      <c r="B67" s="9">
        <v>154813.75</v>
      </c>
    </row>
    <row r="68" spans="1:2" customFormat="1" x14ac:dyDescent="0.3">
      <c r="A68" s="8"/>
      <c r="B68" s="7"/>
    </row>
    <row r="69" spans="1:2" s="4" customFormat="1" ht="14.5" thickBot="1" x14ac:dyDescent="0.35">
      <c r="A69" s="6" t="s">
        <v>0</v>
      </c>
      <c r="B69" s="5">
        <v>30370.06</v>
      </c>
    </row>
    <row r="70" spans="1:2" ht="14.5" thickTop="1" x14ac:dyDescent="0.3"/>
  </sheetData>
  <pageMargins left="0.25" right="0.25" top="1.43055555555556" bottom="0.65277777777777801" header="0.3" footer="0.3"/>
  <pageSetup orientation="portrait" verticalDpi="0" r:id="rId1"/>
  <headerFooter>
    <oddHeader xml:space="preserve">&amp;L&amp;"Times New Roman,Regular"&amp;8
&amp;"Arial,Regular"&amp;11
&amp;C&amp;"Arial,Bold Italic" 
 CROSSROADS CHURCH
 STATEMENT OF GENERAL FUND RECEIPTS AND DISBURSEMENTS
 FOR THE TWELVE MONTHS ENDING JUNE 30, 2023
 </oddHeader>
    <oddFooter>Page &amp;P of &amp;N</oddFooter>
  </headerFooter>
  <customProperties>
    <customPr name="layoutContext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B11B-2E99-4882-BDB1-19AEE7A4F41F}">
  <sheetPr>
    <tabColor theme="0" tint="-0.499984740745262"/>
  </sheetPr>
  <dimension ref="A1:D66"/>
  <sheetViews>
    <sheetView zoomScale="115" zoomScaleNormal="115" workbookViewId="0">
      <selection activeCell="C3" sqref="C3"/>
    </sheetView>
  </sheetViews>
  <sheetFormatPr defaultColWidth="9" defaultRowHeight="14" x14ac:dyDescent="0.3"/>
  <cols>
    <col min="1" max="1" width="44.1640625" style="22" bestFit="1" customWidth="1"/>
    <col min="2" max="3" width="11.83203125" style="21" customWidth="1"/>
    <col min="4" max="4" width="20.6640625" style="22" customWidth="1"/>
    <col min="5" max="16384" width="9" style="22"/>
  </cols>
  <sheetData>
    <row r="1" spans="1:4" s="19" customFormat="1" ht="42.5" thickBot="1" x14ac:dyDescent="0.35">
      <c r="A1" s="17" t="s">
        <v>60</v>
      </c>
      <c r="B1" s="18" t="s">
        <v>59</v>
      </c>
      <c r="C1" s="18" t="s">
        <v>58</v>
      </c>
      <c r="D1" s="40" t="s">
        <v>78</v>
      </c>
    </row>
    <row r="2" spans="1:4" x14ac:dyDescent="0.3">
      <c r="A2" s="20" t="s">
        <v>57</v>
      </c>
    </row>
    <row r="3" spans="1:4" s="25" customFormat="1" ht="28" x14ac:dyDescent="0.3">
      <c r="A3" s="23" t="s">
        <v>56</v>
      </c>
      <c r="B3" s="24">
        <v>17078.2</v>
      </c>
      <c r="C3" s="24">
        <v>92106.87</v>
      </c>
      <c r="D3" s="38" t="s">
        <v>105</v>
      </c>
    </row>
    <row r="4" spans="1:4" s="25" customFormat="1" ht="28" x14ac:dyDescent="0.3">
      <c r="A4" s="23" t="s">
        <v>55</v>
      </c>
      <c r="B4" s="24">
        <v>2627.83</v>
      </c>
      <c r="C4" s="24">
        <v>18394.810000000001</v>
      </c>
      <c r="D4" s="39" t="s">
        <v>75</v>
      </c>
    </row>
    <row r="5" spans="1:4" s="25" customFormat="1" x14ac:dyDescent="0.3">
      <c r="A5" s="26" t="s">
        <v>54</v>
      </c>
      <c r="B5" s="27">
        <v>19706.03</v>
      </c>
      <c r="C5" s="27">
        <v>110501.68</v>
      </c>
    </row>
    <row r="6" spans="1:4" s="30" customFormat="1" ht="13" x14ac:dyDescent="0.3">
      <c r="A6" s="28"/>
      <c r="B6" s="29"/>
      <c r="C6" s="29"/>
    </row>
    <row r="7" spans="1:4" x14ac:dyDescent="0.3">
      <c r="A7" s="20" t="s">
        <v>53</v>
      </c>
    </row>
    <row r="8" spans="1:4" s="25" customFormat="1" x14ac:dyDescent="0.3">
      <c r="A8" s="23" t="s">
        <v>52</v>
      </c>
      <c r="B8" s="24">
        <v>0</v>
      </c>
      <c r="C8" s="24">
        <v>0</v>
      </c>
      <c r="D8" s="25" t="s">
        <v>85</v>
      </c>
    </row>
    <row r="9" spans="1:4" s="25" customFormat="1" ht="42" x14ac:dyDescent="0.3">
      <c r="A9" s="23" t="s">
        <v>51</v>
      </c>
      <c r="B9" s="24">
        <v>80.599999999999994</v>
      </c>
      <c r="C9" s="24">
        <v>343.2</v>
      </c>
      <c r="D9" s="39" t="s">
        <v>76</v>
      </c>
    </row>
    <row r="10" spans="1:4" s="25" customFormat="1" x14ac:dyDescent="0.3">
      <c r="A10" s="23" t="s">
        <v>50</v>
      </c>
      <c r="B10" s="24">
        <v>0</v>
      </c>
      <c r="C10" s="24">
        <v>0</v>
      </c>
    </row>
    <row r="11" spans="1:4" s="25" customFormat="1" ht="56" x14ac:dyDescent="0.3">
      <c r="A11" s="23" t="s">
        <v>48</v>
      </c>
      <c r="B11" s="24">
        <v>1050</v>
      </c>
      <c r="C11" s="24">
        <v>5250</v>
      </c>
      <c r="D11" s="39" t="s">
        <v>77</v>
      </c>
    </row>
    <row r="12" spans="1:4" s="25" customFormat="1" ht="28" x14ac:dyDescent="0.3">
      <c r="A12" s="23" t="s">
        <v>47</v>
      </c>
      <c r="B12" s="24">
        <v>86.7</v>
      </c>
      <c r="C12" s="24">
        <v>603.08000000000004</v>
      </c>
      <c r="D12" s="39" t="s">
        <v>79</v>
      </c>
    </row>
    <row r="13" spans="1:4" s="25" customFormat="1" ht="28" x14ac:dyDescent="0.3">
      <c r="A13" s="23" t="s">
        <v>45</v>
      </c>
      <c r="B13" s="24">
        <v>1133.33</v>
      </c>
      <c r="C13" s="24">
        <v>7883.31</v>
      </c>
      <c r="D13" s="39" t="s">
        <v>80</v>
      </c>
    </row>
    <row r="14" spans="1:4" s="25" customFormat="1" x14ac:dyDescent="0.3">
      <c r="A14" s="26" t="s">
        <v>44</v>
      </c>
      <c r="B14" s="27">
        <v>2350.63</v>
      </c>
      <c r="C14" s="27">
        <v>14079.59</v>
      </c>
    </row>
    <row r="15" spans="1:4" s="30" customFormat="1" ht="13" x14ac:dyDescent="0.3">
      <c r="A15" s="28"/>
      <c r="B15" s="29"/>
      <c r="C15" s="29"/>
    </row>
    <row r="16" spans="1:4" x14ac:dyDescent="0.3">
      <c r="A16" s="20" t="s">
        <v>43</v>
      </c>
    </row>
    <row r="17" spans="1:4" s="25" customFormat="1" x14ac:dyDescent="0.3">
      <c r="A17" s="23" t="s">
        <v>42</v>
      </c>
      <c r="B17" s="24">
        <v>2631.62</v>
      </c>
      <c r="C17" s="24">
        <v>16606.22</v>
      </c>
      <c r="D17" s="25" t="s">
        <v>81</v>
      </c>
    </row>
    <row r="18" spans="1:4" s="25" customFormat="1" x14ac:dyDescent="0.3">
      <c r="A18" s="23" t="s">
        <v>41</v>
      </c>
      <c r="B18" s="24">
        <v>67.989999999999995</v>
      </c>
      <c r="C18" s="24">
        <v>624.24</v>
      </c>
    </row>
    <row r="19" spans="1:4" s="25" customFormat="1" x14ac:dyDescent="0.3">
      <c r="A19" s="23" t="s">
        <v>40</v>
      </c>
      <c r="B19" s="24">
        <v>0</v>
      </c>
      <c r="C19" s="24">
        <v>0</v>
      </c>
    </row>
    <row r="20" spans="1:4" s="25" customFormat="1" ht="98" x14ac:dyDescent="0.3">
      <c r="A20" s="23" t="s">
        <v>39</v>
      </c>
      <c r="B20" s="24">
        <v>1815.89</v>
      </c>
      <c r="C20" s="24">
        <v>6400.87</v>
      </c>
      <c r="D20" s="39" t="s">
        <v>96</v>
      </c>
    </row>
    <row r="21" spans="1:4" s="25" customFormat="1" ht="56" x14ac:dyDescent="0.3">
      <c r="A21" s="23" t="s">
        <v>38</v>
      </c>
      <c r="B21" s="24">
        <v>0</v>
      </c>
      <c r="C21" s="24">
        <v>837.86</v>
      </c>
      <c r="D21" s="39" t="s">
        <v>82</v>
      </c>
    </row>
    <row r="22" spans="1:4" s="25" customFormat="1" ht="42" x14ac:dyDescent="0.3">
      <c r="A22" s="23" t="s">
        <v>37</v>
      </c>
      <c r="B22" s="24">
        <v>0</v>
      </c>
      <c r="C22" s="24">
        <v>8068.75</v>
      </c>
      <c r="D22" s="39" t="s">
        <v>89</v>
      </c>
    </row>
    <row r="23" spans="1:4" s="25" customFormat="1" x14ac:dyDescent="0.3">
      <c r="A23" s="26" t="s">
        <v>35</v>
      </c>
      <c r="B23" s="27">
        <v>4515.5</v>
      </c>
      <c r="C23" s="27">
        <v>32537.94</v>
      </c>
    </row>
    <row r="24" spans="1:4" s="30" customFormat="1" ht="13" x14ac:dyDescent="0.3">
      <c r="A24" s="28"/>
      <c r="B24" s="29"/>
      <c r="C24" s="29"/>
    </row>
    <row r="25" spans="1:4" x14ac:dyDescent="0.3">
      <c r="A25" s="20" t="s">
        <v>34</v>
      </c>
    </row>
    <row r="26" spans="1:4" s="25" customFormat="1" x14ac:dyDescent="0.3">
      <c r="A26" s="23" t="s">
        <v>33</v>
      </c>
      <c r="B26" s="24">
        <v>0</v>
      </c>
      <c r="C26" s="24">
        <v>0</v>
      </c>
    </row>
    <row r="27" spans="1:4" s="25" customFormat="1" x14ac:dyDescent="0.3">
      <c r="A27" s="23" t="s">
        <v>31</v>
      </c>
      <c r="B27" s="24">
        <v>0</v>
      </c>
      <c r="C27" s="24">
        <v>0</v>
      </c>
    </row>
    <row r="28" spans="1:4" s="25" customFormat="1" x14ac:dyDescent="0.3">
      <c r="A28" s="23" t="s">
        <v>30</v>
      </c>
      <c r="B28" s="24">
        <v>0</v>
      </c>
      <c r="C28" s="24">
        <v>0</v>
      </c>
    </row>
    <row r="29" spans="1:4" s="25" customFormat="1" x14ac:dyDescent="0.3">
      <c r="A29" s="26" t="s">
        <v>29</v>
      </c>
      <c r="B29" s="27">
        <v>0</v>
      </c>
      <c r="C29" s="27">
        <v>0</v>
      </c>
    </row>
    <row r="30" spans="1:4" s="30" customFormat="1" ht="13" x14ac:dyDescent="0.3">
      <c r="A30" s="28"/>
      <c r="B30" s="29"/>
      <c r="C30" s="29"/>
    </row>
    <row r="31" spans="1:4" x14ac:dyDescent="0.3">
      <c r="A31" s="20" t="s">
        <v>28</v>
      </c>
    </row>
    <row r="32" spans="1:4" s="25" customFormat="1" x14ac:dyDescent="0.3">
      <c r="A32" s="23" t="s">
        <v>27</v>
      </c>
      <c r="B32" s="24">
        <v>0</v>
      </c>
      <c r="C32" s="24">
        <v>0</v>
      </c>
    </row>
    <row r="33" spans="1:4" s="25" customFormat="1" x14ac:dyDescent="0.3">
      <c r="A33" s="23" t="s">
        <v>26</v>
      </c>
      <c r="B33" s="24">
        <v>0</v>
      </c>
      <c r="C33" s="24">
        <v>163.36000000000001</v>
      </c>
    </row>
    <row r="34" spans="1:4" s="25" customFormat="1" ht="28" x14ac:dyDescent="0.3">
      <c r="A34" s="23" t="s">
        <v>25</v>
      </c>
      <c r="B34" s="24">
        <v>143.4</v>
      </c>
      <c r="C34" s="24">
        <v>143.4</v>
      </c>
      <c r="D34" s="39" t="s">
        <v>83</v>
      </c>
    </row>
    <row r="35" spans="1:4" s="25" customFormat="1" x14ac:dyDescent="0.3">
      <c r="A35" s="23" t="s">
        <v>24</v>
      </c>
      <c r="B35" s="24">
        <v>0</v>
      </c>
      <c r="C35" s="24">
        <v>0</v>
      </c>
    </row>
    <row r="36" spans="1:4" s="25" customFormat="1" x14ac:dyDescent="0.3">
      <c r="A36" s="26" t="s">
        <v>23</v>
      </c>
      <c r="B36" s="27">
        <v>143.4</v>
      </c>
      <c r="C36" s="27">
        <v>306.76</v>
      </c>
    </row>
    <row r="37" spans="1:4" s="30" customFormat="1" ht="13" x14ac:dyDescent="0.3">
      <c r="A37" s="28"/>
      <c r="B37" s="29"/>
      <c r="C37" s="29"/>
    </row>
    <row r="38" spans="1:4" x14ac:dyDescent="0.3">
      <c r="A38" s="20" t="s">
        <v>22</v>
      </c>
    </row>
    <row r="39" spans="1:4" s="25" customFormat="1" x14ac:dyDescent="0.3">
      <c r="A39" s="23" t="s">
        <v>21</v>
      </c>
      <c r="B39" s="24">
        <v>2939.13</v>
      </c>
      <c r="C39" s="24">
        <v>20201.95</v>
      </c>
      <c r="D39" s="25" t="s">
        <v>84</v>
      </c>
    </row>
    <row r="40" spans="1:4" s="25" customFormat="1" x14ac:dyDescent="0.3">
      <c r="A40" s="23" t="s">
        <v>20</v>
      </c>
      <c r="B40" s="24">
        <v>0</v>
      </c>
      <c r="C40" s="24">
        <v>0</v>
      </c>
    </row>
    <row r="41" spans="1:4" s="25" customFormat="1" ht="28" x14ac:dyDescent="0.3">
      <c r="A41" s="23" t="s">
        <v>19</v>
      </c>
      <c r="B41" s="24">
        <v>200</v>
      </c>
      <c r="C41" s="24">
        <v>1400</v>
      </c>
      <c r="D41" s="39" t="s">
        <v>86</v>
      </c>
    </row>
    <row r="42" spans="1:4" s="25" customFormat="1" x14ac:dyDescent="0.3">
      <c r="A42" s="23" t="s">
        <v>18</v>
      </c>
      <c r="B42" s="24">
        <v>0</v>
      </c>
      <c r="C42" s="24">
        <v>0</v>
      </c>
    </row>
    <row r="43" spans="1:4" s="25" customFormat="1" ht="42" x14ac:dyDescent="0.3">
      <c r="A43" s="23" t="s">
        <v>17</v>
      </c>
      <c r="B43" s="24">
        <v>48.18</v>
      </c>
      <c r="C43" s="24">
        <v>569.82000000000005</v>
      </c>
      <c r="D43" s="39" t="s">
        <v>90</v>
      </c>
    </row>
    <row r="44" spans="1:4" s="25" customFormat="1" x14ac:dyDescent="0.3">
      <c r="A44" s="26" t="s">
        <v>16</v>
      </c>
      <c r="B44" s="27">
        <v>3187.31</v>
      </c>
      <c r="C44" s="27">
        <v>22171.77</v>
      </c>
    </row>
    <row r="45" spans="1:4" s="30" customFormat="1" ht="13" x14ac:dyDescent="0.3">
      <c r="A45" s="28"/>
      <c r="B45" s="29"/>
      <c r="C45" s="29"/>
    </row>
    <row r="46" spans="1:4" x14ac:dyDescent="0.3">
      <c r="A46" s="20" t="s">
        <v>15</v>
      </c>
    </row>
    <row r="47" spans="1:4" s="25" customFormat="1" x14ac:dyDescent="0.3">
      <c r="A47" s="23" t="s">
        <v>14</v>
      </c>
      <c r="B47" s="24">
        <v>0</v>
      </c>
      <c r="C47" s="24">
        <v>0</v>
      </c>
    </row>
    <row r="48" spans="1:4" s="25" customFormat="1" x14ac:dyDescent="0.3">
      <c r="A48" s="26" t="s">
        <v>13</v>
      </c>
      <c r="B48" s="27">
        <v>0</v>
      </c>
      <c r="C48" s="27">
        <v>0</v>
      </c>
    </row>
    <row r="49" spans="1:4" s="30" customFormat="1" ht="13" x14ac:dyDescent="0.3">
      <c r="A49" s="28"/>
      <c r="B49" s="29"/>
      <c r="C49" s="29"/>
    </row>
    <row r="50" spans="1:4" x14ac:dyDescent="0.3">
      <c r="A50" s="20" t="s">
        <v>12</v>
      </c>
    </row>
    <row r="51" spans="1:4" s="25" customFormat="1" x14ac:dyDescent="0.3">
      <c r="A51" s="23" t="s">
        <v>11</v>
      </c>
      <c r="B51" s="24">
        <v>0</v>
      </c>
      <c r="C51" s="24">
        <v>0</v>
      </c>
    </row>
    <row r="52" spans="1:4" s="25" customFormat="1" x14ac:dyDescent="0.3">
      <c r="A52" s="23" t="s">
        <v>10</v>
      </c>
      <c r="B52" s="24">
        <v>0</v>
      </c>
      <c r="C52" s="24">
        <v>0</v>
      </c>
    </row>
    <row r="53" spans="1:4" s="25" customFormat="1" x14ac:dyDescent="0.3">
      <c r="A53" s="23" t="s">
        <v>9</v>
      </c>
      <c r="B53" s="24">
        <v>0</v>
      </c>
      <c r="C53" s="24">
        <v>0</v>
      </c>
    </row>
    <row r="54" spans="1:4" s="25" customFormat="1" x14ac:dyDescent="0.3">
      <c r="A54" s="23" t="s">
        <v>8</v>
      </c>
      <c r="B54" s="24">
        <v>19.989999999999998</v>
      </c>
      <c r="C54" s="24">
        <v>216.33</v>
      </c>
    </row>
    <row r="55" spans="1:4" s="25" customFormat="1" x14ac:dyDescent="0.3">
      <c r="A55" s="23" t="s">
        <v>7</v>
      </c>
      <c r="B55" s="24">
        <v>0</v>
      </c>
      <c r="C55" s="24">
        <v>0</v>
      </c>
    </row>
    <row r="56" spans="1:4" s="25" customFormat="1" ht="28" x14ac:dyDescent="0.3">
      <c r="A56" s="23" t="s">
        <v>6</v>
      </c>
      <c r="B56" s="24">
        <v>258.44</v>
      </c>
      <c r="C56" s="24">
        <v>1855.87</v>
      </c>
      <c r="D56" s="39" t="s">
        <v>87</v>
      </c>
    </row>
    <row r="57" spans="1:4" s="25" customFormat="1" x14ac:dyDescent="0.3">
      <c r="A57" s="26" t="s">
        <v>5</v>
      </c>
      <c r="B57" s="27">
        <v>278.43</v>
      </c>
      <c r="C57" s="27">
        <v>2072.1999999999998</v>
      </c>
    </row>
    <row r="58" spans="1:4" s="30" customFormat="1" ht="13" x14ac:dyDescent="0.3">
      <c r="A58" s="28"/>
      <c r="B58" s="29"/>
      <c r="C58" s="29"/>
    </row>
    <row r="59" spans="1:4" x14ac:dyDescent="0.3">
      <c r="A59" s="20" t="s">
        <v>4</v>
      </c>
    </row>
    <row r="60" spans="1:4" s="25" customFormat="1" ht="42" x14ac:dyDescent="0.3">
      <c r="A60" s="23" t="s">
        <v>3</v>
      </c>
      <c r="B60" s="24">
        <v>0</v>
      </c>
      <c r="C60" s="24">
        <v>3000</v>
      </c>
      <c r="D60" s="39" t="s">
        <v>88</v>
      </c>
    </row>
    <row r="61" spans="1:4" s="25" customFormat="1" x14ac:dyDescent="0.3">
      <c r="A61" s="26" t="s">
        <v>2</v>
      </c>
      <c r="B61" s="27">
        <v>0</v>
      </c>
      <c r="C61" s="27">
        <v>3000</v>
      </c>
    </row>
    <row r="62" spans="1:4" s="30" customFormat="1" ht="13" x14ac:dyDescent="0.3">
      <c r="A62" s="28"/>
      <c r="B62" s="29"/>
      <c r="C62" s="29"/>
    </row>
    <row r="63" spans="1:4" s="25" customFormat="1" x14ac:dyDescent="0.3">
      <c r="A63" s="31" t="s">
        <v>1</v>
      </c>
      <c r="B63" s="32">
        <v>10475.27</v>
      </c>
      <c r="C63" s="32">
        <v>74168.259999999995</v>
      </c>
    </row>
    <row r="64" spans="1:4" s="30" customFormat="1" ht="13" x14ac:dyDescent="0.3">
      <c r="A64" s="28"/>
      <c r="B64" s="29"/>
      <c r="C64" s="29"/>
    </row>
    <row r="65" spans="1:3" s="25" customFormat="1" ht="14.5" thickBot="1" x14ac:dyDescent="0.35">
      <c r="A65" s="33" t="s">
        <v>0</v>
      </c>
      <c r="B65" s="34">
        <v>9230.76</v>
      </c>
      <c r="C65" s="34">
        <v>36333.42</v>
      </c>
    </row>
    <row r="66" spans="1:3" ht="14.5" thickTop="1" x14ac:dyDescent="0.3"/>
  </sheetData>
  <pageMargins left="0.25" right="0.25" top="1.43055555555556" bottom="0.65277777777777801" header="0.3" footer="0.3"/>
  <pageSetup orientation="portrait" verticalDpi="0" r:id="rId1"/>
  <headerFooter>
    <oddHeader xml:space="preserve">&amp;L&amp;8
&amp;"Arial,Regular"&amp;11
&amp;C&amp;"Arial,Bold"&amp;11 
 CROSSROADS CHURCH
 STATEMENT OF GENERAL FUND RECEIPTS AND DISBURSEMENTS
 FOR THE SEVEN MONTHS ENDING JANUARY 31, 2024
 </oddHeader>
    <oddFooter>Page &amp;P of &amp;N</oddFooter>
  </headerFooter>
  <customProperties>
    <customPr name="layoutContext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1019-891A-4EC3-BB55-0F1B6AF4ED05}">
  <sheetPr>
    <tabColor theme="0" tint="-0.499984740745262"/>
  </sheetPr>
  <dimension ref="A1:C13"/>
  <sheetViews>
    <sheetView zoomScale="115" zoomScaleNormal="115" workbookViewId="0">
      <selection activeCell="A10" sqref="A10"/>
    </sheetView>
  </sheetViews>
  <sheetFormatPr defaultColWidth="9" defaultRowHeight="14" x14ac:dyDescent="0.3"/>
  <cols>
    <col min="1" max="1" width="35.6640625" style="4" customWidth="1"/>
    <col min="2" max="2" width="16.6640625" style="36" customWidth="1"/>
    <col min="3" max="3" width="20.6640625" style="4" customWidth="1"/>
    <col min="4" max="16384" width="9" style="4"/>
  </cols>
  <sheetData>
    <row r="1" spans="1:3" s="13" customFormat="1" ht="14.5" thickBot="1" x14ac:dyDescent="0.35">
      <c r="A1" s="35"/>
      <c r="B1" s="14" t="s">
        <v>61</v>
      </c>
      <c r="C1" s="41" t="s">
        <v>78</v>
      </c>
    </row>
    <row r="2" spans="1:3" x14ac:dyDescent="0.3">
      <c r="A2" s="12" t="s">
        <v>62</v>
      </c>
    </row>
    <row r="3" spans="1:3" x14ac:dyDescent="0.3">
      <c r="A3" s="11" t="s">
        <v>63</v>
      </c>
      <c r="B3" s="2">
        <v>74465.86</v>
      </c>
    </row>
    <row r="4" spans="1:3" x14ac:dyDescent="0.3">
      <c r="A4" s="10" t="s">
        <v>64</v>
      </c>
      <c r="B4" s="9">
        <f>SUM(B3)</f>
        <v>74465.86</v>
      </c>
    </row>
    <row r="5" spans="1:3" customFormat="1" x14ac:dyDescent="0.3">
      <c r="A5" s="8"/>
      <c r="B5" s="7"/>
    </row>
    <row r="6" spans="1:3" x14ac:dyDescent="0.3">
      <c r="A6" s="12" t="s">
        <v>65</v>
      </c>
    </row>
    <row r="7" spans="1:3" ht="28" x14ac:dyDescent="0.3">
      <c r="A7" s="11" t="s">
        <v>66</v>
      </c>
      <c r="B7" s="2">
        <v>31533.96</v>
      </c>
      <c r="C7" s="38" t="s">
        <v>74</v>
      </c>
    </row>
    <row r="8" spans="1:3" ht="28" x14ac:dyDescent="0.3">
      <c r="A8" s="11" t="s">
        <v>67</v>
      </c>
      <c r="B8" s="2">
        <v>15100.94</v>
      </c>
      <c r="C8" s="38" t="s">
        <v>73</v>
      </c>
    </row>
    <row r="9" spans="1:3" x14ac:dyDescent="0.3">
      <c r="A9" s="11" t="s">
        <v>68</v>
      </c>
      <c r="B9" s="2">
        <v>0</v>
      </c>
    </row>
    <row r="10" spans="1:3" x14ac:dyDescent="0.3">
      <c r="A10" s="10" t="s">
        <v>69</v>
      </c>
      <c r="B10" s="9">
        <f>SUM(B7:B9)</f>
        <v>46634.9</v>
      </c>
    </row>
    <row r="11" spans="1:3" customFormat="1" x14ac:dyDescent="0.3">
      <c r="A11" s="8"/>
      <c r="B11" s="7"/>
    </row>
    <row r="12" spans="1:3" ht="14.5" thickBot="1" x14ac:dyDescent="0.35">
      <c r="A12" s="6" t="s">
        <v>70</v>
      </c>
      <c r="B12" s="5">
        <f>B4-B10</f>
        <v>27830.959999999999</v>
      </c>
    </row>
    <row r="13" spans="1:3" customFormat="1" ht="14.5" thickTop="1" x14ac:dyDescent="0.3">
      <c r="A13" s="8"/>
      <c r="B13" s="7"/>
    </row>
  </sheetData>
  <pageMargins left="0.25" right="0.25" top="1.43055555555556" bottom="0.65277777777777801" header="0.3" footer="0.3"/>
  <pageSetup orientation="portrait" verticalDpi="0" r:id="rId1"/>
  <headerFooter>
    <oddHeader xml:space="preserve">&amp;L&amp;"Times New Roman,Regular"&amp;8
&amp;"Arial,Regular"&amp;11
&amp;C&amp;"Arial,Bold" 
 CROSSROADS CHURCH
Capital Improvement Fund INCOME STATEMENT
 FOR THE TWELVE MONTHS ENDING JUNE 30, 2023
 </oddHeader>
    <oddFooter>Page &amp;P of &amp;N</oddFooter>
  </headerFooter>
  <customProperties>
    <customPr name="layoutContext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DE95-E36D-4720-AAED-96E452728C61}">
  <sheetPr>
    <tabColor theme="0" tint="-0.499984740745262"/>
  </sheetPr>
  <dimension ref="A1:C13"/>
  <sheetViews>
    <sheetView zoomScale="115" zoomScaleNormal="115" workbookViewId="0">
      <selection activeCell="C4" sqref="C4"/>
    </sheetView>
  </sheetViews>
  <sheetFormatPr defaultColWidth="9" defaultRowHeight="14" x14ac:dyDescent="0.3"/>
  <cols>
    <col min="1" max="1" width="35.6640625" style="4" customWidth="1"/>
    <col min="2" max="2" width="16.6640625" style="36" customWidth="1"/>
    <col min="3" max="3" width="20.6640625" style="4" customWidth="1"/>
    <col min="4" max="16384" width="9" style="4"/>
  </cols>
  <sheetData>
    <row r="1" spans="1:3" s="13" customFormat="1" ht="14.5" thickBot="1" x14ac:dyDescent="0.35">
      <c r="A1" s="35"/>
      <c r="B1" s="14" t="s">
        <v>61</v>
      </c>
      <c r="C1" s="41" t="s">
        <v>78</v>
      </c>
    </row>
    <row r="2" spans="1:3" x14ac:dyDescent="0.3">
      <c r="A2" s="12" t="s">
        <v>62</v>
      </c>
    </row>
    <row r="3" spans="1:3" x14ac:dyDescent="0.3">
      <c r="A3" s="11" t="s">
        <v>63</v>
      </c>
      <c r="B3" s="37">
        <v>44316.92</v>
      </c>
      <c r="C3" s="4">
        <f>B3/5500</f>
        <v>8.0576218181818184</v>
      </c>
    </row>
    <row r="4" spans="1:3" x14ac:dyDescent="0.3">
      <c r="A4" s="10" t="s">
        <v>64</v>
      </c>
      <c r="B4" s="9">
        <f>SUM(B3)</f>
        <v>44316.92</v>
      </c>
    </row>
    <row r="5" spans="1:3" customFormat="1" x14ac:dyDescent="0.3">
      <c r="A5" s="8"/>
      <c r="B5" s="7"/>
    </row>
    <row r="6" spans="1:3" x14ac:dyDescent="0.3">
      <c r="A6" s="12" t="s">
        <v>65</v>
      </c>
    </row>
    <row r="7" spans="1:3" ht="56" x14ac:dyDescent="0.3">
      <c r="A7" s="11" t="s">
        <v>66</v>
      </c>
      <c r="B7" s="2">
        <v>20844.810000000001</v>
      </c>
      <c r="C7" s="38" t="s">
        <v>71</v>
      </c>
    </row>
    <row r="8" spans="1:3" ht="28" x14ac:dyDescent="0.3">
      <c r="A8" s="11" t="s">
        <v>67</v>
      </c>
      <c r="B8" s="2">
        <v>8986.84</v>
      </c>
      <c r="C8" s="38" t="s">
        <v>73</v>
      </c>
    </row>
    <row r="9" spans="1:3" ht="28" x14ac:dyDescent="0.3">
      <c r="A9" s="11" t="s">
        <v>68</v>
      </c>
      <c r="B9" s="2">
        <v>1011.46</v>
      </c>
      <c r="C9" s="38" t="s">
        <v>72</v>
      </c>
    </row>
    <row r="10" spans="1:3" x14ac:dyDescent="0.3">
      <c r="A10" s="10" t="s">
        <v>69</v>
      </c>
      <c r="B10" s="9">
        <f>SUM(B7:B9)</f>
        <v>30843.11</v>
      </c>
    </row>
    <row r="11" spans="1:3" customFormat="1" x14ac:dyDescent="0.3">
      <c r="A11" s="8"/>
      <c r="B11" s="7"/>
    </row>
    <row r="12" spans="1:3" ht="14.5" thickBot="1" x14ac:dyDescent="0.35">
      <c r="A12" s="6" t="s">
        <v>70</v>
      </c>
      <c r="B12" s="5">
        <f>B4-B10</f>
        <v>13473.809999999998</v>
      </c>
    </row>
    <row r="13" spans="1:3" customFormat="1" ht="14.5" thickTop="1" x14ac:dyDescent="0.3">
      <c r="A13" s="8"/>
      <c r="B13" s="7"/>
    </row>
  </sheetData>
  <pageMargins left="0.25" right="0.25" top="1.43055555555556" bottom="0.65277777777777801" header="0.3" footer="0.3"/>
  <pageSetup orientation="portrait" verticalDpi="0" r:id="rId1"/>
  <headerFooter>
    <oddHeader xml:space="preserve">&amp;L&amp;"Times New Roman,Regular"&amp;8
&amp;"Arial,Regular"&amp;11
&amp;C&amp;"Arial,Bold" 
 CROSSROADS CHURCH
Capital Improvement Fund INCOME STATEMENT
 FOR THE SEVEN MONTHS ENDING JANUARY 31, 2024
 </oddHeader>
    <oddFooter>Page &amp;P of &amp;N</oddFooter>
  </headerFooter>
  <customProperties>
    <customPr name="layoutContexts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97FB-23B4-42AC-A0CC-4ECFDBBBB667}">
  <sheetPr>
    <tabColor theme="0" tint="-0.499984740745262"/>
  </sheetPr>
  <dimension ref="A1:C27"/>
  <sheetViews>
    <sheetView zoomScale="115" zoomScaleNormal="115" workbookViewId="0">
      <selection activeCell="C8" sqref="C8"/>
    </sheetView>
  </sheetViews>
  <sheetFormatPr defaultColWidth="9" defaultRowHeight="14" x14ac:dyDescent="0.3"/>
  <cols>
    <col min="1" max="1" width="13.6640625" style="43" customWidth="1"/>
    <col min="2" max="2" width="22.6640625" style="44" bestFit="1" customWidth="1"/>
    <col min="3" max="3" width="18.6640625" style="2" customWidth="1"/>
    <col min="4" max="16384" width="9" style="4"/>
  </cols>
  <sheetData>
    <row r="1" spans="1:3" s="13" customFormat="1" ht="14.5" thickBot="1" x14ac:dyDescent="0.35">
      <c r="A1" s="45" t="s">
        <v>100</v>
      </c>
      <c r="B1" s="45" t="s">
        <v>101</v>
      </c>
      <c r="C1" s="14" t="s">
        <v>102</v>
      </c>
    </row>
    <row r="2" spans="1:3" x14ac:dyDescent="0.3">
      <c r="A2" s="43">
        <v>44865</v>
      </c>
      <c r="B2" s="44" t="s">
        <v>103</v>
      </c>
      <c r="C2" s="2">
        <v>3500</v>
      </c>
    </row>
    <row r="3" spans="1:3" x14ac:dyDescent="0.3">
      <c r="A3" s="43">
        <v>44893</v>
      </c>
      <c r="B3" s="44" t="s">
        <v>103</v>
      </c>
      <c r="C3" s="2">
        <v>2500</v>
      </c>
    </row>
    <row r="4" spans="1:3" x14ac:dyDescent="0.3">
      <c r="A4" s="43">
        <v>44923</v>
      </c>
      <c r="B4" s="44" t="s">
        <v>103</v>
      </c>
      <c r="C4" s="2">
        <v>2375</v>
      </c>
    </row>
    <row r="5" spans="1:3" x14ac:dyDescent="0.3">
      <c r="A5" s="43">
        <v>44956</v>
      </c>
      <c r="B5" s="44" t="s">
        <v>103</v>
      </c>
      <c r="C5" s="2">
        <v>1375</v>
      </c>
    </row>
    <row r="6" spans="1:3" x14ac:dyDescent="0.3">
      <c r="A6" s="43">
        <v>44984</v>
      </c>
      <c r="B6" s="44" t="s">
        <v>103</v>
      </c>
      <c r="C6" s="2">
        <v>4400</v>
      </c>
    </row>
    <row r="7" spans="1:3" x14ac:dyDescent="0.3">
      <c r="A7" s="43">
        <v>45012</v>
      </c>
      <c r="B7" s="44" t="s">
        <v>103</v>
      </c>
      <c r="C7" s="2">
        <v>4400</v>
      </c>
    </row>
    <row r="8" spans="1:3" x14ac:dyDescent="0.3">
      <c r="A8" s="43">
        <v>45046</v>
      </c>
      <c r="B8" s="44" t="s">
        <v>103</v>
      </c>
      <c r="C8" s="2">
        <v>4400</v>
      </c>
    </row>
    <row r="9" spans="1:3" x14ac:dyDescent="0.3">
      <c r="A9" s="43">
        <v>45074</v>
      </c>
      <c r="B9" s="44" t="s">
        <v>103</v>
      </c>
      <c r="C9" s="2">
        <v>4400</v>
      </c>
    </row>
    <row r="10" spans="1:3" x14ac:dyDescent="0.3">
      <c r="A10" s="43">
        <v>45103</v>
      </c>
      <c r="B10" s="44" t="s">
        <v>103</v>
      </c>
      <c r="C10" s="2">
        <v>4400</v>
      </c>
    </row>
    <row r="11" spans="1:3" x14ac:dyDescent="0.3">
      <c r="A11" s="43">
        <v>45194</v>
      </c>
      <c r="B11" s="44" t="s">
        <v>103</v>
      </c>
      <c r="C11" s="2">
        <v>2000</v>
      </c>
    </row>
    <row r="12" spans="1:3" x14ac:dyDescent="0.3">
      <c r="A12" s="43">
        <v>45229</v>
      </c>
      <c r="B12" s="44" t="s">
        <v>103</v>
      </c>
      <c r="C12" s="2">
        <v>4800</v>
      </c>
    </row>
    <row r="13" spans="1:3" x14ac:dyDescent="0.3">
      <c r="A13" s="43">
        <v>45257</v>
      </c>
      <c r="B13" s="44" t="s">
        <v>103</v>
      </c>
      <c r="C13" s="2">
        <v>4057</v>
      </c>
    </row>
    <row r="14" spans="1:3" x14ac:dyDescent="0.3">
      <c r="A14" s="43">
        <v>45319</v>
      </c>
      <c r="B14" s="44" t="s">
        <v>103</v>
      </c>
      <c r="C14" s="2">
        <v>8000</v>
      </c>
    </row>
    <row r="17" spans="1:3" x14ac:dyDescent="0.3">
      <c r="A17" s="43">
        <v>45012</v>
      </c>
      <c r="B17" s="44" t="s">
        <v>104</v>
      </c>
      <c r="C17" s="2">
        <v>70</v>
      </c>
    </row>
    <row r="18" spans="1:3" x14ac:dyDescent="0.3">
      <c r="A18" s="43">
        <v>45046</v>
      </c>
      <c r="B18" s="44" t="s">
        <v>104</v>
      </c>
      <c r="C18" s="2">
        <v>280</v>
      </c>
    </row>
    <row r="19" spans="1:3" x14ac:dyDescent="0.3">
      <c r="A19" s="43">
        <v>45074</v>
      </c>
      <c r="B19" s="44" t="s">
        <v>104</v>
      </c>
      <c r="C19" s="2">
        <v>245</v>
      </c>
    </row>
    <row r="20" spans="1:3" x14ac:dyDescent="0.3">
      <c r="A20" s="43">
        <v>45103</v>
      </c>
      <c r="B20" s="44" t="s">
        <v>104</v>
      </c>
      <c r="C20" s="2">
        <v>245</v>
      </c>
    </row>
    <row r="21" spans="1:3" x14ac:dyDescent="0.3">
      <c r="A21" s="43">
        <v>45137</v>
      </c>
      <c r="B21" s="44" t="s">
        <v>104</v>
      </c>
      <c r="C21" s="2">
        <v>140</v>
      </c>
    </row>
    <row r="22" spans="1:3" x14ac:dyDescent="0.3">
      <c r="A22" s="43">
        <v>45166</v>
      </c>
      <c r="B22" s="44" t="s">
        <v>104</v>
      </c>
      <c r="C22" s="2">
        <v>245</v>
      </c>
    </row>
    <row r="23" spans="1:3" x14ac:dyDescent="0.3">
      <c r="A23" s="43">
        <v>45194</v>
      </c>
      <c r="B23" s="44" t="s">
        <v>104</v>
      </c>
      <c r="C23" s="2">
        <v>175</v>
      </c>
    </row>
    <row r="24" spans="1:3" x14ac:dyDescent="0.3">
      <c r="A24" s="43">
        <v>45229</v>
      </c>
      <c r="B24" s="44" t="s">
        <v>104</v>
      </c>
      <c r="C24" s="2">
        <v>210</v>
      </c>
    </row>
    <row r="25" spans="1:3" x14ac:dyDescent="0.3">
      <c r="A25" s="43">
        <v>45257</v>
      </c>
      <c r="B25" s="44" t="s">
        <v>104</v>
      </c>
      <c r="C25" s="2">
        <v>245</v>
      </c>
    </row>
    <row r="26" spans="1:3" x14ac:dyDescent="0.3">
      <c r="A26" s="43">
        <v>45291</v>
      </c>
      <c r="B26" s="44" t="s">
        <v>104</v>
      </c>
      <c r="C26" s="2">
        <v>245</v>
      </c>
    </row>
    <row r="27" spans="1:3" x14ac:dyDescent="0.3">
      <c r="A27" s="43">
        <v>45319</v>
      </c>
      <c r="B27" s="44" t="s">
        <v>104</v>
      </c>
      <c r="C27" s="2">
        <v>175</v>
      </c>
    </row>
  </sheetData>
  <sortState xmlns:xlrd2="http://schemas.microsoft.com/office/spreadsheetml/2017/richdata2" ref="A2:C27">
    <sortCondition ref="B2:B27"/>
    <sortCondition ref="A2:A27"/>
  </sortState>
  <pageMargins left="0.25" right="0.25" top="1.0833333333333299" bottom="0.65277777777777801" header="0.3" footer="0.3"/>
  <pageSetup orientation="portrait" verticalDpi="0" r:id="rId1"/>
  <headerFooter>
    <oddHeader>&amp;L
&amp;C&amp;"Arial,Bold" Crossroads Church
General Fund Receipts from Use of Church
 For the Period From Jul 1, 2022 to Feb 29, 2024</oddHeader>
    <oddFooter>Page &amp;P of &amp;N</oddFooter>
  </headerFooter>
  <customProperties>
    <customPr name="layoutContext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Summary View</vt:lpstr>
      <vt:lpstr>General Giving</vt:lpstr>
      <vt:lpstr>Provided by Crossroads &gt;&gt;&gt;</vt:lpstr>
      <vt:lpstr>June 2023 - General Fund P&amp;L</vt:lpstr>
      <vt:lpstr>Jul Jan 2024 - General Fund P&amp;L</vt:lpstr>
      <vt:lpstr>FYE June 30, 2023 School P &amp; L</vt:lpstr>
      <vt:lpstr>Jul 2023 - Jan 2024 School P&amp;l</vt:lpstr>
      <vt:lpstr>Receipts from Use of Building</vt:lpstr>
      <vt:lpstr>'FYE June 30, 2023 School P &amp; L'!Print_Titles</vt:lpstr>
      <vt:lpstr>'Jul 2023 - Jan 2024 School P&amp;l'!Print_Titles</vt:lpstr>
      <vt:lpstr>'Jul Jan 2024 - General Fund P&amp;L'!Print_Titles</vt:lpstr>
      <vt:lpstr>'June 2023 - General Fund P&amp;L'!Print_Titles</vt:lpstr>
      <vt:lpstr>'Receipts from Use of Building'!Print_Titles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Owens</dc:creator>
  <cp:lastModifiedBy>Brandon Narveson</cp:lastModifiedBy>
  <cp:lastPrinted>2024-09-11T14:22:16Z</cp:lastPrinted>
  <dcterms:created xsi:type="dcterms:W3CDTF">2024-03-07T20:43:56Z</dcterms:created>
  <dcterms:modified xsi:type="dcterms:W3CDTF">2024-09-12T14:12:15Z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2024-07-27T15:46:29Z</vt:filetime>
  </property>
</Properties>
</file>