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ordan\Documents\"/>
    </mc:Choice>
  </mc:AlternateContent>
  <xr:revisionPtr revIDLastSave="0" documentId="8_{ADA20DB1-99FA-470F-9B1E-3AC85EF63DF3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Summary Budget" sheetId="3" r:id="rId1"/>
    <sheet name="Missions" sheetId="8" state="hidden" r:id="rId2"/>
    <sheet name="sheet2" sheetId="10" r:id="rId3"/>
  </sheets>
  <definedNames>
    <definedName name="_xlnm.Print_Area" localSheetId="0">'Summary Budget'!$A:$Q</definedName>
    <definedName name="_xlnm.Print_Titles" localSheetId="0">'Summary Budget'!$4:$5</definedName>
  </definedNames>
  <calcPr calcId="191029"/>
</workbook>
</file>

<file path=xl/calcChain.xml><?xml version="1.0" encoding="utf-8"?>
<calcChain xmlns="http://schemas.openxmlformats.org/spreadsheetml/2006/main">
  <c r="Q30" i="3" l="1"/>
  <c r="Q21" i="3"/>
  <c r="Q12" i="3"/>
  <c r="Q115" i="3" s="1"/>
  <c r="O81" i="3"/>
  <c r="P81" i="3" s="1"/>
  <c r="O90" i="3"/>
  <c r="P90" i="3" s="1"/>
  <c r="O108" i="3"/>
  <c r="P108" i="3" s="1"/>
  <c r="O72" i="3"/>
  <c r="P72" i="3" s="1"/>
  <c r="O102" i="3"/>
  <c r="P102" i="3" s="1"/>
  <c r="O63" i="3"/>
  <c r="P63" i="3" s="1"/>
  <c r="O115" i="3"/>
  <c r="P115" i="3" s="1"/>
  <c r="O12" i="3"/>
  <c r="P12" i="3" s="1"/>
  <c r="N12" i="3"/>
  <c r="N115" i="3" s="1"/>
  <c r="O21" i="3"/>
  <c r="P21" i="3" s="1"/>
  <c r="O30" i="3"/>
  <c r="P30" i="3" s="1"/>
  <c r="P118" i="3"/>
  <c r="P117" i="3"/>
  <c r="P114" i="3"/>
  <c r="P113" i="3"/>
  <c r="P112" i="3"/>
  <c r="P111" i="3"/>
  <c r="P109" i="3"/>
  <c r="P107" i="3"/>
  <c r="P106" i="3"/>
  <c r="P105" i="3"/>
  <c r="P101" i="3"/>
  <c r="P100" i="3"/>
  <c r="P99" i="3"/>
  <c r="P98" i="3"/>
  <c r="P97" i="3"/>
  <c r="P96" i="3"/>
  <c r="P95" i="3"/>
  <c r="P94" i="3"/>
  <c r="P93" i="3"/>
  <c r="P89" i="3"/>
  <c r="P88" i="3"/>
  <c r="P87" i="3"/>
  <c r="P86" i="3"/>
  <c r="P85" i="3"/>
  <c r="P84" i="3"/>
  <c r="P80" i="3"/>
  <c r="P79" i="3"/>
  <c r="P78" i="3"/>
  <c r="P77" i="3"/>
  <c r="P76" i="3"/>
  <c r="P75" i="3"/>
  <c r="P71" i="3"/>
  <c r="P70" i="3"/>
  <c r="P69" i="3"/>
  <c r="P68" i="3"/>
  <c r="P67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35" i="3"/>
  <c r="P34" i="3"/>
  <c r="P29" i="3"/>
  <c r="P28" i="3"/>
  <c r="P27" i="3"/>
  <c r="P26" i="3"/>
  <c r="P25" i="3"/>
  <c r="P20" i="3"/>
  <c r="P18" i="3"/>
  <c r="P17" i="3"/>
  <c r="P16" i="3"/>
  <c r="P15" i="3"/>
  <c r="P11" i="3"/>
  <c r="P10" i="3"/>
  <c r="P9" i="3"/>
  <c r="P8" i="3"/>
  <c r="Q108" i="3"/>
  <c r="Q102" i="3"/>
  <c r="Q90" i="3"/>
  <c r="Q81" i="3"/>
  <c r="Q72" i="3"/>
  <c r="Q63" i="3"/>
  <c r="M63" i="3"/>
  <c r="M102" i="3"/>
  <c r="M81" i="3"/>
  <c r="M72" i="3"/>
  <c r="M108" i="3"/>
  <c r="M90" i="3"/>
  <c r="M115" i="3"/>
  <c r="M21" i="3"/>
  <c r="M30" i="3"/>
  <c r="M12" i="3"/>
  <c r="L12" i="3"/>
  <c r="N108" i="3"/>
  <c r="N102" i="3"/>
  <c r="N90" i="3"/>
  <c r="N81" i="3"/>
  <c r="N72" i="3"/>
  <c r="N63" i="3"/>
  <c r="N30" i="3"/>
  <c r="N21" i="3"/>
  <c r="L30" i="3"/>
  <c r="L21" i="3"/>
  <c r="J21" i="3"/>
  <c r="J30" i="3" s="1"/>
  <c r="L108" i="3"/>
  <c r="L102" i="3"/>
  <c r="L90" i="3"/>
  <c r="L81" i="3"/>
  <c r="L72" i="3"/>
  <c r="L63" i="3"/>
  <c r="J44" i="3"/>
  <c r="J45" i="3"/>
  <c r="P37" i="3" l="1"/>
  <c r="M37" i="3"/>
  <c r="L37" i="3"/>
  <c r="O37" i="3"/>
  <c r="N37" i="3"/>
  <c r="Q37" i="3"/>
  <c r="Q110" i="3"/>
  <c r="Q119" i="3" s="1"/>
  <c r="O110" i="3"/>
  <c r="P110" i="3" s="1"/>
  <c r="M110" i="3"/>
  <c r="M119" i="3" s="1"/>
  <c r="N110" i="3"/>
  <c r="N119" i="3" s="1"/>
  <c r="L110" i="3"/>
  <c r="L119" i="3" s="1"/>
  <c r="G16" i="3"/>
  <c r="G9" i="3"/>
  <c r="O119" i="3" l="1"/>
  <c r="P119" i="3" s="1"/>
  <c r="Q121" i="3"/>
  <c r="N121" i="3"/>
  <c r="M121" i="3"/>
  <c r="L121" i="3"/>
  <c r="J12" i="3"/>
  <c r="J37" i="3" s="1"/>
  <c r="J63" i="3"/>
  <c r="J72" i="3"/>
  <c r="J81" i="3"/>
  <c r="J90" i="3"/>
  <c r="J102" i="3"/>
  <c r="J108" i="3"/>
  <c r="O121" i="3" l="1"/>
  <c r="P121" i="3" s="1"/>
  <c r="J110" i="3"/>
  <c r="J115" i="3"/>
  <c r="K12" i="3" l="1"/>
  <c r="K21" i="3"/>
  <c r="K30" i="3"/>
  <c r="J119" i="3"/>
  <c r="K110" i="3" s="1"/>
  <c r="J113" i="3"/>
  <c r="J114" i="3"/>
  <c r="H81" i="3"/>
  <c r="K37" i="3" l="1"/>
  <c r="K119" i="3"/>
  <c r="K117" i="3"/>
  <c r="K81" i="3"/>
  <c r="K90" i="3"/>
  <c r="K72" i="3"/>
  <c r="K63" i="3"/>
  <c r="K102" i="3"/>
  <c r="K108" i="3"/>
  <c r="K115" i="3"/>
  <c r="J121" i="3"/>
  <c r="D18" i="3"/>
  <c r="D9" i="3"/>
  <c r="H21" i="3" l="1"/>
  <c r="G102" i="3"/>
  <c r="H63" i="3"/>
  <c r="G63" i="3"/>
  <c r="F63" i="3"/>
  <c r="D63" i="3"/>
  <c r="C63" i="3"/>
  <c r="G81" i="3"/>
  <c r="G72" i="3"/>
  <c r="G108" i="3"/>
  <c r="G90" i="3"/>
  <c r="F21" i="3"/>
  <c r="C21" i="3"/>
  <c r="G30" i="3"/>
  <c r="D21" i="3"/>
  <c r="G21" i="3"/>
  <c r="D12" i="3"/>
  <c r="D115" i="3"/>
  <c r="D108" i="3"/>
  <c r="D102" i="3"/>
  <c r="D90" i="3"/>
  <c r="D81" i="3"/>
  <c r="D72" i="3"/>
  <c r="D30" i="3"/>
  <c r="G12" i="3"/>
  <c r="G115" i="3" s="1"/>
  <c r="C81" i="3"/>
  <c r="G17" i="8"/>
  <c r="G41" i="8" s="1"/>
  <c r="I41" i="8"/>
  <c r="E41" i="8"/>
  <c r="F40" i="8"/>
  <c r="F41" i="8" s="1"/>
  <c r="J19" i="8"/>
  <c r="J17" i="8"/>
  <c r="F108" i="3"/>
  <c r="F102" i="3"/>
  <c r="F90" i="3"/>
  <c r="F81" i="3"/>
  <c r="F72" i="3"/>
  <c r="F30" i="3"/>
  <c r="F12" i="3"/>
  <c r="F37" i="3" l="1"/>
  <c r="F115" i="3"/>
  <c r="G110" i="3"/>
  <c r="G119" i="3" s="1"/>
  <c r="G37" i="3"/>
  <c r="D110" i="3"/>
  <c r="D119" i="3" s="1"/>
  <c r="F110" i="3"/>
  <c r="D37" i="3"/>
  <c r="J41" i="8"/>
  <c r="J40" i="8"/>
  <c r="E115" i="3" l="1"/>
  <c r="E108" i="3"/>
  <c r="E81" i="3"/>
  <c r="E102" i="3"/>
  <c r="E119" i="3"/>
  <c r="E90" i="3"/>
  <c r="E63" i="3"/>
  <c r="E72" i="3"/>
  <c r="F114" i="3"/>
  <c r="F119" i="3"/>
  <c r="F121" i="3" s="1"/>
  <c r="G121" i="3"/>
  <c r="D121" i="3"/>
  <c r="F113" i="3"/>
  <c r="E21" i="3" l="1"/>
  <c r="E37" i="3"/>
  <c r="E12" i="3"/>
  <c r="E30" i="3"/>
  <c r="H30" i="3"/>
  <c r="H108" i="3"/>
  <c r="H102" i="3"/>
  <c r="H90" i="3"/>
  <c r="H72" i="3"/>
  <c r="H12" i="3"/>
  <c r="H115" i="3" s="1"/>
  <c r="H37" i="3" l="1"/>
  <c r="H110" i="3"/>
  <c r="I12" i="3" l="1"/>
  <c r="I21" i="3"/>
  <c r="I30" i="3"/>
  <c r="H119" i="3"/>
  <c r="H113" i="3"/>
  <c r="H114" i="3"/>
  <c r="C11" i="3"/>
  <c r="C30" i="3"/>
  <c r="C72" i="3"/>
  <c r="C90" i="3"/>
  <c r="C102" i="3"/>
  <c r="C108" i="3"/>
  <c r="I37" i="3" l="1"/>
  <c r="I81" i="3"/>
  <c r="I119" i="3"/>
  <c r="I117" i="3"/>
  <c r="I115" i="3"/>
  <c r="I108" i="3"/>
  <c r="I102" i="3"/>
  <c r="I63" i="3"/>
  <c r="I90" i="3"/>
  <c r="I72" i="3"/>
  <c r="I110" i="3"/>
  <c r="H121" i="3"/>
  <c r="C110" i="3"/>
  <c r="C12" i="3"/>
  <c r="C115" i="3" l="1"/>
  <c r="C114" i="3" s="1"/>
  <c r="C37" i="3"/>
  <c r="C119" i="3" l="1"/>
  <c r="C113" i="3"/>
  <c r="C12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Cook, David</author>
  </authors>
  <commentList>
    <comment ref="C5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Cook, David:</t>
        </r>
        <r>
          <rPr>
            <sz val="9"/>
            <color indexed="81"/>
            <rFont val="Tahoma"/>
            <family val="2"/>
          </rPr>
          <t xml:space="preserve">
8400</t>
        </r>
      </text>
    </comment>
    <comment ref="C5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Cook, David:</t>
        </r>
        <r>
          <rPr>
            <sz val="9"/>
            <color indexed="81"/>
            <rFont val="Tahoma"/>
            <family val="2"/>
          </rPr>
          <t xml:space="preserve">
$2578</t>
        </r>
      </text>
    </comment>
  </commentList>
</comments>
</file>

<file path=xl/sharedStrings.xml><?xml version="1.0" encoding="utf-8"?>
<sst xmlns="http://schemas.openxmlformats.org/spreadsheetml/2006/main" count="138" uniqueCount="129">
  <si>
    <t>GL Acct #</t>
  </si>
  <si>
    <t>Loose Offerings</t>
  </si>
  <si>
    <t>Total Offerings</t>
  </si>
  <si>
    <t>OTHER REVENUE</t>
  </si>
  <si>
    <t>SUPPLEMENTAL REVENUE</t>
  </si>
  <si>
    <t xml:space="preserve">DESIGNATED GIFTS </t>
  </si>
  <si>
    <t>TOTAL SOURCES OF FUNDS</t>
  </si>
  <si>
    <t>Budget</t>
  </si>
  <si>
    <t xml:space="preserve">PERSONNEL </t>
  </si>
  <si>
    <t>Total Personnel</t>
  </si>
  <si>
    <t>Total Gen &amp; Admin</t>
  </si>
  <si>
    <t>CHURCH FAMILY/EDUCATION/RECREATION/COMMUNITY</t>
  </si>
  <si>
    <t>WORSHIP</t>
  </si>
  <si>
    <t>PROMOTION</t>
  </si>
  <si>
    <t>Total Promotion</t>
  </si>
  <si>
    <t>Total Exp. Before Missions</t>
  </si>
  <si>
    <t>Cooperative Missions</t>
  </si>
  <si>
    <t>5000xx</t>
  </si>
  <si>
    <t>Community Missions</t>
  </si>
  <si>
    <t>501xxx</t>
  </si>
  <si>
    <t>Total Missions</t>
  </si>
  <si>
    <t>TOTAL EXPENSES</t>
  </si>
  <si>
    <t>Nursery Workers</t>
  </si>
  <si>
    <t>Salaries Min. &amp; Music Dir.</t>
  </si>
  <si>
    <t>Housing Allowance</t>
  </si>
  <si>
    <t>Auto Mileage</t>
  </si>
  <si>
    <t>Annuity-Ministers</t>
  </si>
  <si>
    <t>Tax Deferred Annuity</t>
  </si>
  <si>
    <t>Employee Health &amp; Dental</t>
  </si>
  <si>
    <t>Payroll Tax (FICA)</t>
  </si>
  <si>
    <t>Professional Expenses</t>
  </si>
  <si>
    <t>Raise Pool</t>
  </si>
  <si>
    <t>Utilities</t>
  </si>
  <si>
    <t>Contingency Expense</t>
  </si>
  <si>
    <t>Building Repairs &amp; Maint.</t>
  </si>
  <si>
    <t>Landscape</t>
  </si>
  <si>
    <t>Communication &amp; Tech</t>
  </si>
  <si>
    <t>Office Expenses</t>
  </si>
  <si>
    <t>Audits</t>
  </si>
  <si>
    <t>Postage &amp; Shipping</t>
  </si>
  <si>
    <t>Children</t>
  </si>
  <si>
    <t>Youth</t>
  </si>
  <si>
    <t>Adult Educ.</t>
  </si>
  <si>
    <t>Triple E</t>
  </si>
  <si>
    <t xml:space="preserve">Diaconate </t>
  </si>
  <si>
    <t>Audio Visual</t>
  </si>
  <si>
    <t>Wedding</t>
  </si>
  <si>
    <t>Flowers</t>
  </si>
  <si>
    <t xml:space="preserve">Laundry &amp; Para. </t>
  </si>
  <si>
    <t>Staff Singers (MF Music)</t>
  </si>
  <si>
    <t>Printing</t>
  </si>
  <si>
    <t>Member Development</t>
  </si>
  <si>
    <t>Marketing</t>
  </si>
  <si>
    <t>Non-Pledge Gifts</t>
  </si>
  <si>
    <t>Parking Lot Rental</t>
  </si>
  <si>
    <t>Ball Park Fees</t>
  </si>
  <si>
    <t>Total Other Revenue</t>
  </si>
  <si>
    <t>Maddox Foundation</t>
  </si>
  <si>
    <t>Total Supplemental Revenue</t>
  </si>
  <si>
    <t>Flower Fund</t>
  </si>
  <si>
    <t>Total Designated Gifts</t>
  </si>
  <si>
    <t>USES OF FUNDS</t>
  </si>
  <si>
    <t>Trustee Account Number II</t>
  </si>
  <si>
    <t>NET SURPLUS (DEFICIT)</t>
  </si>
  <si>
    <t>Music</t>
  </si>
  <si>
    <t>Worship</t>
  </si>
  <si>
    <t xml:space="preserve">SOURCES OF FUNDS </t>
  </si>
  <si>
    <t>MISSIONS</t>
  </si>
  <si>
    <t>YOY Change</t>
  </si>
  <si>
    <t>% Change</t>
  </si>
  <si>
    <t>Undesignated Memorial Gifts</t>
  </si>
  <si>
    <t>Actual to July</t>
  </si>
  <si>
    <t>CONTINGENCY</t>
  </si>
  <si>
    <t>Proposed Budget</t>
  </si>
  <si>
    <t>McAfee School of Theology</t>
  </si>
  <si>
    <t>Baptist Peace Fellowship</t>
  </si>
  <si>
    <t>CBF - Global Missions</t>
  </si>
  <si>
    <t>CBF - Coorperative Bapt Fellows</t>
  </si>
  <si>
    <t>CBF - Georgia</t>
  </si>
  <si>
    <t>Direct Missionary Support</t>
  </si>
  <si>
    <t>Baptist World Alliance</t>
  </si>
  <si>
    <t>Alliance of Baptists</t>
  </si>
  <si>
    <t>Baptist Joint Committee</t>
  </si>
  <si>
    <t>Familyt Ministry</t>
  </si>
  <si>
    <t>Fees Misc. Rents, Wedding fees</t>
  </si>
  <si>
    <t>Actual to August</t>
  </si>
  <si>
    <t>Payroll Processing fees</t>
  </si>
  <si>
    <t>Proposed Challenge Budget</t>
  </si>
  <si>
    <t>Revised Budget</t>
  </si>
  <si>
    <t>Actual to November</t>
  </si>
  <si>
    <t>Pulpit Supply</t>
  </si>
  <si>
    <t>Final Budget</t>
  </si>
  <si>
    <t>Prepaid</t>
  </si>
  <si>
    <t>Contributions</t>
  </si>
  <si>
    <t xml:space="preserve">2024 Proposed </t>
  </si>
  <si>
    <t>Actual Thru Aug 31</t>
  </si>
  <si>
    <t>2023</t>
  </si>
  <si>
    <t>Actual - EOY</t>
  </si>
  <si>
    <t>Projected EOY (Actual thru Aug 31 x 1.5) *</t>
  </si>
  <si>
    <t>NDBC 2024 Proposed Budget</t>
  </si>
  <si>
    <t>Kiddos Rent</t>
  </si>
  <si>
    <t>Kiddos elec/gas reimb</t>
  </si>
  <si>
    <t>Kiddos water reimb</t>
  </si>
  <si>
    <t>Kiddos cutodial reimb</t>
  </si>
  <si>
    <t>Salaries Maint. Steff</t>
  </si>
  <si>
    <t>Min Self Emply Tax</t>
  </si>
  <si>
    <t>Salries Admin Staff</t>
  </si>
  <si>
    <t>Int erim Church Sr. Leadership</t>
  </si>
  <si>
    <t>Search, Relocation &amp; Travel</t>
  </si>
  <si>
    <t>Conf &amp; Continuing Ed</t>
  </si>
  <si>
    <t>Worker's Comp Insurance</t>
  </si>
  <si>
    <t>Audiop Engineer</t>
  </si>
  <si>
    <t>BUILDING&amp; GROUNDS</t>
  </si>
  <si>
    <t>Property &amp; Liability Ins.</t>
  </si>
  <si>
    <t>GENERAL &amp; ADMIN</t>
  </si>
  <si>
    <t>Bank Chargews</t>
  </si>
  <si>
    <t>Website + E-giving</t>
  </si>
  <si>
    <t>Young Adult Ministry</t>
  </si>
  <si>
    <t>Kitchen/Hiospitality</t>
  </si>
  <si>
    <t>Total church Fam/Ed/Rec</t>
  </si>
  <si>
    <t>Children's Choir</t>
  </si>
  <si>
    <t>Total Worship</t>
  </si>
  <si>
    <t>Cooperative MIssions</t>
  </si>
  <si>
    <t>Community MIssions</t>
  </si>
  <si>
    <t>Total Building &amp; Gr.</t>
  </si>
  <si>
    <t>Int. Op Reserve Acct</t>
  </si>
  <si>
    <t>Interest Wade Davis Acct</t>
  </si>
  <si>
    <t>Ver. 2.0 - Oct. 16, 2023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</si>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</sst>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_);\(0\)"/>
    <numFmt numFmtId="166" formatCode="0.0%"/>
  </numFmts>
  <fonts count="23" x14ac:knownFonts="1">
    <font>
      <sz val="10"/>
      <name val="Verdana"/>
    </font>
    <font>
      <sz val="10"/>
      <name val="Verdana"/>
      <family val="2"/>
    </font>
    <font>
      <u/>
      <sz val="10"/>
      <color indexed="12"/>
      <name val="Verdana"/>
      <family val="2"/>
    </font>
    <font>
      <u/>
      <sz val="10"/>
      <color indexed="2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2"/>
      <name val="Cambria"/>
      <family val="1"/>
      <scheme val="major"/>
    </font>
    <font>
      <sz val="10"/>
      <name val="Verdana"/>
      <family val="2"/>
    </font>
    <font>
      <sz val="12"/>
      <name val="Times New Roman"/>
      <family val="1"/>
    </font>
    <font>
      <b/>
      <sz val="14"/>
      <name val="Cambria"/>
      <family val="1"/>
      <scheme val="major"/>
    </font>
    <font>
      <sz val="14"/>
      <name val="Cambria"/>
      <family val="1"/>
      <scheme val="major"/>
    </font>
    <font>
      <sz val="14"/>
      <color rgb="FF00B0F0"/>
      <name val="Cambria"/>
      <family val="1"/>
      <scheme val="major"/>
    </font>
    <font>
      <sz val="14"/>
      <color rgb="FFFF0000"/>
      <name val="Cambria"/>
      <family val="1"/>
      <scheme val="major"/>
    </font>
    <font>
      <sz val="12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4"/>
      <color rgb="FFFF0000"/>
      <name val="Cambria"/>
      <family val="1"/>
      <scheme val="major"/>
    </font>
    <font>
      <u val="singleAccounting"/>
      <sz val="14"/>
      <name val="Cambria"/>
      <family val="1"/>
      <scheme val="major"/>
    </font>
    <font>
      <u val="singleAccounting"/>
      <sz val="14"/>
      <color theme="1"/>
      <name val="Cambria"/>
      <family val="1"/>
      <scheme val="major"/>
    </font>
    <font>
      <u val="singleAccounting"/>
      <sz val="14"/>
      <color rgb="FFFF000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115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6" fontId="7" fillId="0" borderId="0" xfId="0" applyNumberFormat="1" applyFont="1" applyAlignment="1">
      <alignment vertical="center"/>
    </xf>
    <xf numFmtId="6" fontId="7" fillId="0" borderId="1" xfId="0" applyNumberFormat="1" applyFont="1" applyBorder="1"/>
    <xf numFmtId="6" fontId="7" fillId="0" borderId="0" xfId="0" applyNumberFormat="1" applyFont="1"/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6" fontId="10" fillId="0" borderId="0" xfId="0" applyNumberFormat="1" applyFont="1"/>
    <xf numFmtId="6" fontId="10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164" fontId="0" fillId="0" borderId="0" xfId="54" applyNumberFormat="1" applyFont="1"/>
    <xf numFmtId="38" fontId="7" fillId="0" borderId="0" xfId="0" applyNumberFormat="1" applyFont="1" applyAlignment="1">
      <alignment vertical="center"/>
    </xf>
    <xf numFmtId="164" fontId="7" fillId="0" borderId="0" xfId="54" applyNumberFormat="1" applyFont="1" applyFill="1" applyAlignment="1">
      <alignment vertical="center"/>
    </xf>
    <xf numFmtId="44" fontId="14" fillId="0" borderId="0" xfId="54" applyFont="1" applyFill="1" applyBorder="1"/>
    <xf numFmtId="44" fontId="13" fillId="0" borderId="0" xfId="54" applyFont="1" applyFill="1" applyBorder="1" applyAlignment="1">
      <alignment vertical="center"/>
    </xf>
    <xf numFmtId="44" fontId="15" fillId="0" borderId="0" xfId="54" applyFont="1" applyFill="1"/>
    <xf numFmtId="44" fontId="13" fillId="0" borderId="0" xfId="54" applyFont="1" applyFill="1" applyBorder="1" applyAlignment="1">
      <alignment horizontal="center" vertical="top" wrapText="1"/>
    </xf>
    <xf numFmtId="44" fontId="13" fillId="0" borderId="0" xfId="54" applyFont="1" applyFill="1" applyAlignment="1">
      <alignment horizontal="center" vertical="top" wrapText="1"/>
    </xf>
    <xf numFmtId="44" fontId="13" fillId="0" borderId="0" xfId="54" applyFont="1" applyFill="1" applyBorder="1" applyAlignment="1">
      <alignment horizontal="center" wrapText="1"/>
    </xf>
    <xf numFmtId="44" fontId="13" fillId="0" borderId="0" xfId="54" applyFont="1" applyFill="1" applyAlignment="1">
      <alignment horizontal="center" wrapText="1"/>
    </xf>
    <xf numFmtId="44" fontId="14" fillId="0" borderId="0" xfId="54" applyFont="1" applyFill="1" applyBorder="1" applyAlignment="1">
      <alignment vertical="center"/>
    </xf>
    <xf numFmtId="44" fontId="14" fillId="0" borderId="1" xfId="54" applyFont="1" applyFill="1" applyBorder="1" applyAlignment="1">
      <alignment vertical="center"/>
    </xf>
    <xf numFmtId="44" fontId="13" fillId="0" borderId="1" xfId="54" applyFont="1" applyFill="1" applyBorder="1" applyAlignment="1">
      <alignment vertical="center"/>
    </xf>
    <xf numFmtId="44" fontId="13" fillId="0" borderId="2" xfId="54" applyFont="1" applyFill="1" applyBorder="1"/>
    <xf numFmtId="165" fontId="13" fillId="0" borderId="0" xfId="53" applyNumberFormat="1" applyFont="1" applyFill="1" applyBorder="1" applyAlignment="1">
      <alignment horizontal="center" vertical="center"/>
    </xf>
    <xf numFmtId="165" fontId="13" fillId="0" borderId="0" xfId="53" applyNumberFormat="1" applyFont="1" applyFill="1" applyAlignment="1">
      <alignment horizontal="center" vertical="center"/>
    </xf>
    <xf numFmtId="164" fontId="14" fillId="0" borderId="0" xfId="54" applyNumberFormat="1" applyFont="1" applyFill="1" applyBorder="1" applyAlignment="1">
      <alignment vertical="center"/>
    </xf>
    <xf numFmtId="164" fontId="14" fillId="0" borderId="0" xfId="54" applyNumberFormat="1" applyFont="1" applyFill="1" applyAlignment="1">
      <alignment vertical="center"/>
    </xf>
    <xf numFmtId="164" fontId="14" fillId="0" borderId="0" xfId="54" applyNumberFormat="1" applyFont="1" applyFill="1" applyBorder="1"/>
    <xf numFmtId="164" fontId="14" fillId="0" borderId="1" xfId="54" applyNumberFormat="1" applyFont="1" applyFill="1" applyBorder="1"/>
    <xf numFmtId="164" fontId="14" fillId="0" borderId="0" xfId="54" applyNumberFormat="1" applyFont="1" applyFill="1"/>
    <xf numFmtId="164" fontId="14" fillId="0" borderId="1" xfId="54" applyNumberFormat="1" applyFont="1" applyFill="1" applyBorder="1" applyAlignment="1">
      <alignment vertical="center"/>
    </xf>
    <xf numFmtId="164" fontId="14" fillId="0" borderId="2" xfId="54" applyNumberFormat="1" applyFont="1" applyFill="1" applyBorder="1"/>
    <xf numFmtId="164" fontId="7" fillId="0" borderId="0" xfId="0" applyNumberFormat="1" applyFont="1"/>
    <xf numFmtId="37" fontId="14" fillId="0" borderId="0" xfId="54" applyNumberFormat="1" applyFont="1" applyFill="1" applyBorder="1" applyAlignment="1">
      <alignment vertical="center"/>
    </xf>
    <xf numFmtId="37" fontId="14" fillId="0" borderId="0" xfId="54" applyNumberFormat="1" applyFont="1" applyFill="1" applyAlignment="1">
      <alignment vertical="center"/>
    </xf>
    <xf numFmtId="37" fontId="14" fillId="0" borderId="0" xfId="54" applyNumberFormat="1" applyFont="1" applyFill="1" applyBorder="1"/>
    <xf numFmtId="14" fontId="13" fillId="0" borderId="0" xfId="54" applyNumberFormat="1" applyFont="1" applyFill="1" applyBorder="1" applyAlignment="1">
      <alignment horizontal="left" wrapText="1"/>
    </xf>
    <xf numFmtId="44" fontId="13" fillId="0" borderId="0" xfId="54" applyFont="1" applyFill="1" applyBorder="1" applyAlignment="1">
      <alignment wrapText="1"/>
    </xf>
    <xf numFmtId="44" fontId="14" fillId="0" borderId="2" xfId="54" applyFont="1" applyFill="1" applyBorder="1"/>
    <xf numFmtId="9" fontId="14" fillId="0" borderId="1" xfId="25" applyFont="1" applyFill="1" applyBorder="1"/>
    <xf numFmtId="9" fontId="14" fillId="0" borderId="1" xfId="25" applyFont="1" applyFill="1" applyBorder="1" applyAlignment="1">
      <alignment vertical="center"/>
    </xf>
    <xf numFmtId="166" fontId="14" fillId="0" borderId="0" xfId="25" applyNumberFormat="1" applyFont="1" applyFill="1" applyBorder="1"/>
    <xf numFmtId="166" fontId="15" fillId="0" borderId="0" xfId="25" applyNumberFormat="1" applyFont="1" applyFill="1"/>
    <xf numFmtId="166" fontId="13" fillId="0" borderId="0" xfId="25" applyNumberFormat="1" applyFont="1" applyFill="1" applyAlignment="1">
      <alignment horizontal="center" vertical="center"/>
    </xf>
    <xf numFmtId="166" fontId="13" fillId="0" borderId="0" xfId="25" applyNumberFormat="1" applyFont="1" applyFill="1" applyAlignment="1">
      <alignment horizontal="center" vertical="top" wrapText="1"/>
    </xf>
    <xf numFmtId="166" fontId="13" fillId="0" borderId="0" xfId="25" applyNumberFormat="1" applyFont="1" applyFill="1" applyAlignment="1">
      <alignment horizontal="center" wrapText="1"/>
    </xf>
    <xf numFmtId="166" fontId="14" fillId="0" borderId="0" xfId="25" applyNumberFormat="1" applyFont="1" applyFill="1" applyAlignment="1">
      <alignment vertical="center"/>
    </xf>
    <xf numFmtId="166" fontId="14" fillId="0" borderId="1" xfId="25" applyNumberFormat="1" applyFont="1" applyFill="1" applyBorder="1"/>
    <xf numFmtId="166" fontId="14" fillId="0" borderId="0" xfId="25" applyNumberFormat="1" applyFont="1" applyFill="1"/>
    <xf numFmtId="166" fontId="14" fillId="0" borderId="1" xfId="25" applyNumberFormat="1" applyFont="1" applyFill="1" applyBorder="1" applyAlignment="1">
      <alignment vertical="center"/>
    </xf>
    <xf numFmtId="166" fontId="14" fillId="0" borderId="0" xfId="25" applyNumberFormat="1" applyFont="1" applyFill="1" applyBorder="1" applyAlignment="1">
      <alignment vertical="center"/>
    </xf>
    <xf numFmtId="166" fontId="14" fillId="0" borderId="2" xfId="25" applyNumberFormat="1" applyFont="1" applyFill="1" applyBorder="1"/>
    <xf numFmtId="166" fontId="7" fillId="0" borderId="0" xfId="25" applyNumberFormat="1" applyFont="1" applyFill="1"/>
    <xf numFmtId="166" fontId="7" fillId="0" borderId="0" xfId="25" applyNumberFormat="1" applyFont="1" applyFill="1" applyBorder="1"/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top" wrapText="1"/>
    </xf>
    <xf numFmtId="4" fontId="7" fillId="0" borderId="0" xfId="0" applyNumberFormat="1" applyFont="1"/>
    <xf numFmtId="0" fontId="13" fillId="0" borderId="0" xfId="0" applyFont="1" applyAlignment="1">
      <alignment horizontal="center" vertical="center" wrapText="1"/>
    </xf>
    <xf numFmtId="2" fontId="14" fillId="0" borderId="0" xfId="54" applyNumberFormat="1" applyFont="1" applyFill="1" applyBorder="1"/>
    <xf numFmtId="2" fontId="13" fillId="0" borderId="0" xfId="54" applyNumberFormat="1" applyFont="1" applyFill="1" applyBorder="1" applyAlignment="1">
      <alignment vertical="center"/>
    </xf>
    <xf numFmtId="2" fontId="7" fillId="0" borderId="0" xfId="0" applyNumberFormat="1" applyFont="1"/>
    <xf numFmtId="1" fontId="14" fillId="0" borderId="0" xfId="54" applyNumberFormat="1" applyFont="1" applyFill="1" applyBorder="1" applyAlignment="1">
      <alignment vertical="top"/>
    </xf>
    <xf numFmtId="1" fontId="14" fillId="0" borderId="0" xfId="54" applyNumberFormat="1" applyFont="1" applyFill="1" applyBorder="1"/>
    <xf numFmtId="1" fontId="14" fillId="0" borderId="0" xfId="54" applyNumberFormat="1" applyFont="1" applyFill="1" applyBorder="1" applyAlignment="1">
      <alignment vertical="center"/>
    </xf>
    <xf numFmtId="1" fontId="14" fillId="0" borderId="0" xfId="54" applyNumberFormat="1" applyFont="1" applyFill="1" applyBorder="1" applyAlignment="1">
      <alignment horizontal="right" vertical="center"/>
    </xf>
    <xf numFmtId="1" fontId="14" fillId="0" borderId="1" xfId="54" applyNumberFormat="1" applyFont="1" applyFill="1" applyBorder="1"/>
    <xf numFmtId="1" fontId="14" fillId="0" borderId="2" xfId="54" applyNumberFormat="1" applyFont="1" applyFill="1" applyBorder="1"/>
    <xf numFmtId="1" fontId="7" fillId="0" borderId="0" xfId="0" applyNumberFormat="1" applyFont="1"/>
    <xf numFmtId="37" fontId="16" fillId="0" borderId="0" xfId="54" applyNumberFormat="1" applyFont="1" applyFill="1" applyAlignment="1">
      <alignment vertical="center"/>
    </xf>
    <xf numFmtId="164" fontId="16" fillId="0" borderId="0" xfId="54" applyNumberFormat="1" applyFont="1" applyFill="1" applyAlignment="1">
      <alignment vertical="center"/>
    </xf>
    <xf numFmtId="164" fontId="16" fillId="0" borderId="1" xfId="54" applyNumberFormat="1" applyFont="1" applyFill="1" applyBorder="1" applyAlignment="1">
      <alignment vertical="center"/>
    </xf>
    <xf numFmtId="164" fontId="16" fillId="0" borderId="0" xfId="54" applyNumberFormat="1" applyFont="1" applyFill="1" applyBorder="1" applyAlignment="1">
      <alignment vertical="center"/>
    </xf>
    <xf numFmtId="164" fontId="16" fillId="0" borderId="1" xfId="54" applyNumberFormat="1" applyFont="1" applyFill="1" applyBorder="1"/>
    <xf numFmtId="164" fontId="16" fillId="0" borderId="0" xfId="54" applyNumberFormat="1" applyFont="1" applyFill="1"/>
    <xf numFmtId="164" fontId="16" fillId="0" borderId="2" xfId="54" applyNumberFormat="1" applyFont="1" applyFill="1" applyBorder="1"/>
    <xf numFmtId="49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17" fillId="0" borderId="0" xfId="0" applyFont="1"/>
    <xf numFmtId="0" fontId="19" fillId="0" borderId="0" xfId="0" applyFont="1" applyAlignment="1">
      <alignment horizontal="center" vertical="center"/>
    </xf>
    <xf numFmtId="43" fontId="14" fillId="0" borderId="0" xfId="0" applyNumberFormat="1" applyFont="1"/>
    <xf numFmtId="0" fontId="14" fillId="0" borderId="0" xfId="0" applyFont="1"/>
    <xf numFmtId="3" fontId="14" fillId="0" borderId="0" xfId="0" applyNumberFormat="1" applyFont="1"/>
    <xf numFmtId="3" fontId="17" fillId="0" borderId="0" xfId="0" applyNumberFormat="1" applyFont="1"/>
    <xf numFmtId="3" fontId="14" fillId="0" borderId="0" xfId="54" applyNumberFormat="1" applyFont="1" applyFill="1" applyAlignment="1">
      <alignment vertical="center"/>
    </xf>
    <xf numFmtId="3" fontId="18" fillId="0" borderId="0" xfId="54" applyNumberFormat="1" applyFont="1" applyFill="1" applyAlignment="1">
      <alignment vertical="center"/>
    </xf>
    <xf numFmtId="3" fontId="14" fillId="0" borderId="1" xfId="54" applyNumberFormat="1" applyFont="1" applyFill="1" applyBorder="1"/>
    <xf numFmtId="3" fontId="18" fillId="0" borderId="1" xfId="54" applyNumberFormat="1" applyFont="1" applyFill="1" applyBorder="1"/>
    <xf numFmtId="3" fontId="14" fillId="0" borderId="1" xfId="0" applyNumberFormat="1" applyFont="1" applyBorder="1"/>
    <xf numFmtId="3" fontId="14" fillId="0" borderId="0" xfId="54" applyNumberFormat="1" applyFont="1" applyFill="1"/>
    <xf numFmtId="3" fontId="18" fillId="0" borderId="0" xfId="54" applyNumberFormat="1" applyFont="1" applyFill="1"/>
    <xf numFmtId="3" fontId="14" fillId="0" borderId="1" xfId="54" applyNumberFormat="1" applyFont="1" applyFill="1" applyBorder="1" applyAlignment="1">
      <alignment vertical="center"/>
    </xf>
    <xf numFmtId="3" fontId="18" fillId="0" borderId="1" xfId="54" applyNumberFormat="1" applyFont="1" applyFill="1" applyBorder="1" applyAlignment="1">
      <alignment vertical="center"/>
    </xf>
    <xf numFmtId="3" fontId="14" fillId="0" borderId="0" xfId="54" applyNumberFormat="1" applyFont="1" applyFill="1" applyBorder="1" applyAlignment="1">
      <alignment vertical="center"/>
    </xf>
    <xf numFmtId="3" fontId="18" fillId="0" borderId="0" xfId="54" applyNumberFormat="1" applyFont="1" applyFill="1" applyBorder="1" applyAlignment="1">
      <alignment vertical="center"/>
    </xf>
    <xf numFmtId="3" fontId="14" fillId="0" borderId="2" xfId="54" applyNumberFormat="1" applyFont="1" applyFill="1" applyBorder="1"/>
    <xf numFmtId="3" fontId="18" fillId="0" borderId="2" xfId="54" applyNumberFormat="1" applyFont="1" applyFill="1" applyBorder="1"/>
    <xf numFmtId="3" fontId="7" fillId="0" borderId="0" xfId="0" applyNumberFormat="1" applyFont="1"/>
    <xf numFmtId="44" fontId="13" fillId="0" borderId="0" xfId="54" applyFont="1" applyFill="1" applyBorder="1"/>
    <xf numFmtId="164" fontId="20" fillId="0" borderId="0" xfId="54" applyNumberFormat="1" applyFont="1" applyFill="1" applyAlignment="1">
      <alignment vertical="center"/>
    </xf>
    <xf numFmtId="164" fontId="20" fillId="0" borderId="0" xfId="54" applyNumberFormat="1" applyFont="1" applyFill="1" applyBorder="1" applyAlignment="1">
      <alignment vertical="center"/>
    </xf>
    <xf numFmtId="166" fontId="20" fillId="0" borderId="0" xfId="25" applyNumberFormat="1" applyFont="1" applyFill="1" applyAlignment="1">
      <alignment vertical="center"/>
    </xf>
    <xf numFmtId="3" fontId="20" fillId="0" borderId="0" xfId="54" applyNumberFormat="1" applyFont="1" applyFill="1" applyAlignment="1">
      <alignment vertical="center"/>
    </xf>
    <xf numFmtId="3" fontId="21" fillId="0" borderId="0" xfId="54" applyNumberFormat="1" applyFont="1" applyFill="1" applyAlignment="1">
      <alignment vertical="center"/>
    </xf>
    <xf numFmtId="3" fontId="20" fillId="0" borderId="0" xfId="0" applyNumberFormat="1" applyFont="1"/>
    <xf numFmtId="164" fontId="22" fillId="0" borderId="0" xfId="54" applyNumberFormat="1" applyFont="1" applyFill="1" applyAlignment="1">
      <alignment vertical="center"/>
    </xf>
    <xf numFmtId="49" fontId="13" fillId="0" borderId="0" xfId="0" applyNumberFormat="1" applyFont="1" applyAlignment="1">
      <alignment horizontal="left" wrapText="1"/>
    </xf>
  </cellXfs>
  <cellStyles count="55">
    <cellStyle name="Comma" xfId="53" builtinId="3"/>
    <cellStyle name="Comma 2" xfId="52" xr:uid="{00000000-0005-0000-0000-000000000000}"/>
    <cellStyle name="Currency" xfId="54" builtinId="4"/>
    <cellStyle name="Followed Hyperlink" xfId="45" builtinId="9" hidden="1"/>
    <cellStyle name="Followed Hyperlink" xfId="37" builtinId="9" hidden="1"/>
    <cellStyle name="Followed Hyperlink" xfId="10" builtinId="9" hidden="1"/>
    <cellStyle name="Followed Hyperlink" xfId="14" builtinId="9" hidden="1"/>
    <cellStyle name="Followed Hyperlink" xfId="16" builtinId="9" hidden="1"/>
    <cellStyle name="Followed Hyperlink" xfId="20" builtinId="9" hidden="1"/>
    <cellStyle name="Followed Hyperlink" xfId="22" builtinId="9" hidden="1"/>
    <cellStyle name="Followed Hyperlink" xfId="12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Followed Hyperlink" xfId="6" builtinId="9" hidden="1"/>
    <cellStyle name="Followed Hyperlink" xfId="18" builtinId="9" hidden="1"/>
    <cellStyle name="Followed Hyperlink" xfId="29" builtinId="9" hidden="1"/>
    <cellStyle name="Followed Hyperlink" xfId="35" builtinId="9" hidden="1"/>
    <cellStyle name="Followed Hyperlink" xfId="41" builtinId="9" hidden="1"/>
    <cellStyle name="Followed Hyperlink" xfId="43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39" builtinId="9" hidden="1"/>
    <cellStyle name="Followed Hyperlink" xfId="31" builtinId="9" hidden="1"/>
    <cellStyle name="Followed Hyperlink" xfId="33" builtinId="9" hidden="1"/>
    <cellStyle name="Followed Hyperlink" xfId="27" builtinId="9" hidden="1"/>
    <cellStyle name="Followed Hyperlink" xfId="24" builtinId="9" hidden="1"/>
    <cellStyle name="Hyperlink" xfId="5" builtinId="8" hidden="1"/>
    <cellStyle name="Hyperlink" xfId="7" builtinId="8" hidden="1"/>
    <cellStyle name="Hyperlink" xfId="1" builtinId="8" hidden="1"/>
    <cellStyle name="Hyperlink" xfId="3" builtinId="8" hidden="1"/>
    <cellStyle name="Hyperlink" xfId="30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32" builtinId="8" hidden="1"/>
    <cellStyle name="Hyperlink" xfId="19" builtinId="8" hidden="1"/>
    <cellStyle name="Hyperlink" xfId="21" builtinId="8" hidden="1"/>
    <cellStyle name="Hyperlink" xfId="23" builtinId="8" hidden="1"/>
    <cellStyle name="Hyperlink" xfId="26" builtinId="8" hidden="1"/>
    <cellStyle name="Hyperlink" xfId="28" builtinId="8" hidden="1"/>
    <cellStyle name="Hyperlink" xfId="50" builtinId="8" hidden="1"/>
    <cellStyle name="Hyperlink" xfId="48" builtinId="8" hidden="1"/>
    <cellStyle name="Hyperlink" xfId="46" builtinId="8" hidden="1"/>
    <cellStyle name="Hyperlink" xfId="44" builtinId="8" hidden="1"/>
    <cellStyle name="Normal" xfId="0" builtinId="0"/>
    <cellStyle name="Percent" xfId="25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7"/>
  <sheetViews>
    <sheetView tabSelected="1" topLeftCell="A100" zoomScale="59" zoomScaleNormal="59" workbookViewId="0">
      <selection activeCell="T127" sqref="T127"/>
    </sheetView>
  </sheetViews>
  <sheetFormatPr defaultColWidth="9" defaultRowHeight="15.75" x14ac:dyDescent="0.25"/>
  <cols>
    <col min="1" max="1" width="30.375" style="2" customWidth="1"/>
    <col min="2" max="2" width="10.75" style="68" customWidth="1"/>
    <col min="3" max="3" width="11" style="2" hidden="1" customWidth="1"/>
    <col min="4" max="4" width="15.875" style="2" hidden="1" customWidth="1"/>
    <col min="5" max="5" width="9.25" style="2" hidden="1" customWidth="1"/>
    <col min="6" max="6" width="15.875" style="2" customWidth="1"/>
    <col min="7" max="7" width="15.875" style="2" hidden="1" customWidth="1"/>
    <col min="8" max="8" width="15.875" style="2" customWidth="1"/>
    <col min="9" max="9" width="9.875" style="61" hidden="1" customWidth="1"/>
    <col min="10" max="10" width="15.875" style="2" customWidth="1"/>
    <col min="11" max="11" width="9.875" style="2" hidden="1" customWidth="1"/>
    <col min="12" max="15" width="15.875" style="2" customWidth="1"/>
    <col min="16" max="16" width="17.875" style="2" customWidth="1"/>
    <col min="17" max="17" width="15.25" style="2" customWidth="1"/>
    <col min="18" max="18" width="9" style="2"/>
    <col min="19" max="19" width="10" style="2" bestFit="1" customWidth="1"/>
    <col min="20" max="23" width="9" style="2"/>
    <col min="24" max="24" width="14.875" style="2" bestFit="1" customWidth="1"/>
    <col min="25" max="16384" width="9" style="2"/>
  </cols>
  <sheetData>
    <row r="1" spans="1:24" ht="32.65" customHeight="1" x14ac:dyDescent="0.25">
      <c r="A1" s="45" t="s">
        <v>99</v>
      </c>
      <c r="B1" s="114"/>
      <c r="C1" s="114"/>
      <c r="D1" s="20"/>
      <c r="E1" s="20"/>
      <c r="F1" s="20"/>
      <c r="G1" s="20"/>
      <c r="H1" s="20"/>
      <c r="I1" s="49"/>
      <c r="J1" s="20"/>
      <c r="K1" s="20"/>
    </row>
    <row r="2" spans="1:24" ht="18" x14ac:dyDescent="0.25">
      <c r="A2" s="44" t="s">
        <v>127</v>
      </c>
      <c r="B2" s="66"/>
      <c r="C2" s="20"/>
      <c r="D2" s="20"/>
      <c r="E2" s="20"/>
      <c r="F2" s="20"/>
      <c r="G2" s="20"/>
      <c r="H2" s="20"/>
      <c r="I2" s="49"/>
      <c r="J2" s="20"/>
      <c r="K2" s="20"/>
    </row>
    <row r="3" spans="1:24" ht="9.6" customHeight="1" x14ac:dyDescent="0.25">
      <c r="A3" s="21"/>
      <c r="B3" s="66"/>
      <c r="C3" s="20"/>
      <c r="D3" s="20"/>
      <c r="E3" s="20"/>
      <c r="F3" s="20"/>
      <c r="G3" s="20"/>
      <c r="H3" s="22"/>
      <c r="I3" s="50"/>
      <c r="J3" s="22"/>
      <c r="K3" s="22"/>
    </row>
    <row r="4" spans="1:24" ht="66.599999999999994" customHeight="1" x14ac:dyDescent="0.25">
      <c r="A4" s="20"/>
      <c r="B4" s="67" t="s">
        <v>0</v>
      </c>
      <c r="C4" s="31">
        <v>2019</v>
      </c>
      <c r="D4" s="31">
        <v>2019</v>
      </c>
      <c r="E4" s="31"/>
      <c r="F4" s="32">
        <v>2020</v>
      </c>
      <c r="G4" s="31">
        <v>2020</v>
      </c>
      <c r="H4" s="32">
        <v>2021</v>
      </c>
      <c r="I4" s="51"/>
      <c r="J4" s="32">
        <v>2021</v>
      </c>
      <c r="K4" s="32"/>
      <c r="L4" s="62">
        <v>2022</v>
      </c>
      <c r="M4" s="65">
        <v>2022</v>
      </c>
      <c r="N4" s="62">
        <v>2023</v>
      </c>
      <c r="O4" s="83" t="s">
        <v>96</v>
      </c>
      <c r="P4" s="65">
        <v>2023</v>
      </c>
      <c r="Q4" s="87" t="s">
        <v>94</v>
      </c>
      <c r="X4" s="1"/>
    </row>
    <row r="5" spans="1:24" ht="57" customHeight="1" x14ac:dyDescent="0.25">
      <c r="B5" s="69"/>
      <c r="C5" s="23" t="s">
        <v>7</v>
      </c>
      <c r="D5" s="23" t="s">
        <v>85</v>
      </c>
      <c r="E5" s="23"/>
      <c r="F5" s="24" t="s">
        <v>7</v>
      </c>
      <c r="G5" s="23" t="s">
        <v>89</v>
      </c>
      <c r="H5" s="24" t="s">
        <v>87</v>
      </c>
      <c r="I5" s="52"/>
      <c r="J5" s="24" t="s">
        <v>88</v>
      </c>
      <c r="K5" s="24"/>
      <c r="L5" s="63" t="s">
        <v>91</v>
      </c>
      <c r="M5" s="84" t="s">
        <v>97</v>
      </c>
      <c r="N5" s="63" t="s">
        <v>91</v>
      </c>
      <c r="O5" s="63" t="s">
        <v>95</v>
      </c>
      <c r="P5" s="84" t="s">
        <v>98</v>
      </c>
      <c r="Q5" s="85"/>
    </row>
    <row r="6" spans="1:24" ht="18" x14ac:dyDescent="0.25">
      <c r="A6" s="21" t="s">
        <v>66</v>
      </c>
      <c r="B6" s="69"/>
      <c r="C6" s="23"/>
      <c r="D6" s="23"/>
      <c r="E6" s="23"/>
      <c r="F6" s="24"/>
      <c r="G6" s="23"/>
      <c r="H6" s="24"/>
      <c r="I6" s="52"/>
      <c r="J6" s="24"/>
      <c r="K6" s="24"/>
      <c r="M6" s="64"/>
      <c r="O6" s="68"/>
      <c r="S6" s="40"/>
    </row>
    <row r="7" spans="1:24" ht="18" x14ac:dyDescent="0.25">
      <c r="A7" s="21"/>
      <c r="B7" s="69"/>
      <c r="C7" s="23"/>
      <c r="D7" s="23"/>
      <c r="E7" s="23"/>
      <c r="F7" s="24"/>
      <c r="G7" s="23"/>
      <c r="H7" s="24"/>
      <c r="I7" s="52"/>
      <c r="J7" s="24"/>
      <c r="K7" s="24"/>
      <c r="M7" s="64"/>
      <c r="N7" s="86"/>
      <c r="O7" s="88"/>
      <c r="P7" s="88"/>
    </row>
    <row r="8" spans="1:24" ht="18" x14ac:dyDescent="0.25">
      <c r="A8" s="27" t="s">
        <v>92</v>
      </c>
      <c r="B8" s="70">
        <v>400150</v>
      </c>
      <c r="C8" s="25"/>
      <c r="D8" s="25"/>
      <c r="E8" s="25"/>
      <c r="F8" s="26"/>
      <c r="G8" s="25"/>
      <c r="H8" s="26"/>
      <c r="I8" s="53"/>
      <c r="J8" s="26"/>
      <c r="K8" s="26"/>
      <c r="M8" s="90">
        <v>128957.86</v>
      </c>
      <c r="N8" s="91"/>
      <c r="O8" s="90">
        <v>125560.82</v>
      </c>
      <c r="P8" s="90">
        <f>O8*1.5</f>
        <v>188341.23</v>
      </c>
      <c r="T8" s="2" t="s">
        <v>128</v>
      </c>
    </row>
    <row r="9" spans="1:24" ht="18" x14ac:dyDescent="0.25">
      <c r="A9" s="27" t="s">
        <v>93</v>
      </c>
      <c r="B9" s="71">
        <v>400200</v>
      </c>
      <c r="C9" s="33">
        <v>538550</v>
      </c>
      <c r="D9" s="33">
        <f>87733+282420</f>
        <v>370153</v>
      </c>
      <c r="E9" s="33"/>
      <c r="F9" s="34">
        <v>591146</v>
      </c>
      <c r="G9" s="33">
        <f>172740+358104</f>
        <v>530844</v>
      </c>
      <c r="H9" s="34">
        <v>590000</v>
      </c>
      <c r="I9" s="54"/>
      <c r="J9" s="34">
        <v>524200</v>
      </c>
      <c r="K9" s="34"/>
      <c r="L9" s="34">
        <v>515000</v>
      </c>
      <c r="M9" s="92">
        <v>204267.84</v>
      </c>
      <c r="N9" s="93">
        <v>525000</v>
      </c>
      <c r="O9" s="90">
        <v>220060.72</v>
      </c>
      <c r="P9" s="90">
        <f t="shared" ref="P9:P67" si="0">O9*1.5</f>
        <v>330091.08</v>
      </c>
      <c r="Q9" s="77">
        <v>550000</v>
      </c>
    </row>
    <row r="10" spans="1:24" ht="18" x14ac:dyDescent="0.25">
      <c r="A10" s="27" t="s">
        <v>1</v>
      </c>
      <c r="B10" s="71">
        <v>400300</v>
      </c>
      <c r="C10" s="41">
        <v>4000</v>
      </c>
      <c r="D10" s="41">
        <v>1656</v>
      </c>
      <c r="E10" s="41"/>
      <c r="F10" s="42">
        <v>4000</v>
      </c>
      <c r="G10" s="41">
        <v>445</v>
      </c>
      <c r="H10" s="42">
        <v>1500</v>
      </c>
      <c r="I10" s="54"/>
      <c r="J10" s="42">
        <v>1500</v>
      </c>
      <c r="K10" s="42"/>
      <c r="L10" s="42">
        <v>500</v>
      </c>
      <c r="M10" s="92">
        <v>215.01</v>
      </c>
      <c r="N10" s="93">
        <v>500</v>
      </c>
      <c r="O10" s="90">
        <v>1356</v>
      </c>
      <c r="P10" s="90">
        <f t="shared" si="0"/>
        <v>2034</v>
      </c>
      <c r="Q10" s="76">
        <v>2000</v>
      </c>
    </row>
    <row r="11" spans="1:24" ht="18" x14ac:dyDescent="0.25">
      <c r="A11" s="27" t="s">
        <v>53</v>
      </c>
      <c r="B11" s="71">
        <v>400200</v>
      </c>
      <c r="C11" s="41">
        <f>33239+2500</f>
        <v>35739</v>
      </c>
      <c r="D11" s="43"/>
      <c r="E11" s="43"/>
      <c r="F11" s="42">
        <v>35739</v>
      </c>
      <c r="G11" s="41"/>
      <c r="H11" s="42">
        <v>30000</v>
      </c>
      <c r="I11" s="54"/>
      <c r="J11" s="42">
        <v>30000</v>
      </c>
      <c r="K11" s="42"/>
      <c r="L11" s="42">
        <v>30000</v>
      </c>
      <c r="M11" s="92"/>
      <c r="N11" s="93">
        <v>30000</v>
      </c>
      <c r="O11" s="90"/>
      <c r="P11" s="90">
        <f t="shared" si="0"/>
        <v>0</v>
      </c>
      <c r="Q11" s="76">
        <v>20000</v>
      </c>
    </row>
    <row r="12" spans="1:24" ht="18" x14ac:dyDescent="0.25">
      <c r="A12" s="21" t="s">
        <v>2</v>
      </c>
      <c r="B12" s="70"/>
      <c r="C12" s="36">
        <f>SUM(C9:C11)</f>
        <v>578289</v>
      </c>
      <c r="D12" s="36">
        <f>SUM(D9:D10)</f>
        <v>371809</v>
      </c>
      <c r="E12" s="47" t="e">
        <f>#REF!/#REF!</f>
        <v>#REF!</v>
      </c>
      <c r="F12" s="36">
        <f>SUM(F9:F11)</f>
        <v>630885</v>
      </c>
      <c r="G12" s="36">
        <f>SUM(G9:G11)</f>
        <v>531289</v>
      </c>
      <c r="H12" s="36">
        <f>SUM(H9:H11)</f>
        <v>621500</v>
      </c>
      <c r="I12" s="55">
        <f>H12/H$37</f>
        <v>0.80102902908579576</v>
      </c>
      <c r="J12" s="36">
        <f>SUM(J9:J11)</f>
        <v>555700</v>
      </c>
      <c r="K12" s="55">
        <f>J12/J$37</f>
        <v>0.75876222218884537</v>
      </c>
      <c r="L12" s="36">
        <f>SUM(L8:L11)</f>
        <v>545500</v>
      </c>
      <c r="M12" s="94">
        <f>SUM(M8:M11)</f>
        <v>333440.71000000002</v>
      </c>
      <c r="N12" s="95">
        <f>SUM(N8:N11)</f>
        <v>555500</v>
      </c>
      <c r="O12" s="95">
        <f>SUM(O8:O11)</f>
        <v>346977.54000000004</v>
      </c>
      <c r="P12" s="96">
        <f t="shared" si="0"/>
        <v>520466.31000000006</v>
      </c>
      <c r="Q12" s="80">
        <f>SUM(Q9:Q11)</f>
        <v>572000</v>
      </c>
    </row>
    <row r="13" spans="1:24" ht="18" x14ac:dyDescent="0.25">
      <c r="A13" s="27"/>
      <c r="B13" s="70"/>
      <c r="C13" s="35"/>
      <c r="D13" s="35"/>
      <c r="E13" s="35"/>
      <c r="F13" s="37"/>
      <c r="G13" s="35"/>
      <c r="H13" s="37"/>
      <c r="I13" s="56"/>
      <c r="J13" s="37"/>
      <c r="K13" s="37"/>
      <c r="L13" s="37"/>
      <c r="M13" s="97"/>
      <c r="N13" s="98"/>
      <c r="O13" s="90"/>
      <c r="P13" s="90"/>
      <c r="Q13" s="37"/>
    </row>
    <row r="14" spans="1:24" ht="18" x14ac:dyDescent="0.25">
      <c r="A14" s="21" t="s">
        <v>3</v>
      </c>
      <c r="B14" s="70"/>
      <c r="C14" s="35"/>
      <c r="D14" s="35"/>
      <c r="E14" s="35"/>
      <c r="F14" s="37"/>
      <c r="G14" s="35"/>
      <c r="H14" s="37"/>
      <c r="I14" s="56"/>
      <c r="J14" s="37"/>
      <c r="K14" s="37"/>
      <c r="L14" s="37"/>
      <c r="M14" s="97"/>
      <c r="N14" s="98"/>
      <c r="O14" s="90"/>
      <c r="P14" s="90"/>
      <c r="Q14" s="37"/>
    </row>
    <row r="15" spans="1:24" ht="18" x14ac:dyDescent="0.25">
      <c r="A15" s="27" t="s">
        <v>125</v>
      </c>
      <c r="B15" s="71">
        <v>400400</v>
      </c>
      <c r="C15" s="33">
        <v>344</v>
      </c>
      <c r="D15" s="33">
        <v>357.55</v>
      </c>
      <c r="E15" s="33"/>
      <c r="F15" s="34">
        <v>344</v>
      </c>
      <c r="G15" s="33">
        <v>90</v>
      </c>
      <c r="H15" s="34">
        <v>100</v>
      </c>
      <c r="I15" s="54"/>
      <c r="J15" s="34">
        <v>100</v>
      </c>
      <c r="K15" s="34"/>
      <c r="L15" s="34"/>
      <c r="M15" s="92">
        <v>18.739999999999998</v>
      </c>
      <c r="N15" s="93"/>
      <c r="O15" s="90">
        <v>0</v>
      </c>
      <c r="P15" s="90">
        <f t="shared" si="0"/>
        <v>0</v>
      </c>
      <c r="Q15" s="77">
        <v>5000</v>
      </c>
    </row>
    <row r="16" spans="1:24" ht="18" x14ac:dyDescent="0.25">
      <c r="A16" s="27" t="s">
        <v>126</v>
      </c>
      <c r="B16" s="71">
        <v>400401</v>
      </c>
      <c r="C16" s="41">
        <v>17</v>
      </c>
      <c r="D16" s="41">
        <v>836</v>
      </c>
      <c r="E16" s="41"/>
      <c r="F16" s="42"/>
      <c r="G16" s="41">
        <f>109+4586</f>
        <v>4695</v>
      </c>
      <c r="H16" s="42"/>
      <c r="I16" s="54"/>
      <c r="J16" s="42"/>
      <c r="K16" s="42"/>
      <c r="L16" s="42"/>
      <c r="M16" s="92">
        <v>4.2699999999999996</v>
      </c>
      <c r="N16" s="93"/>
      <c r="O16" s="90">
        <v>1049.79</v>
      </c>
      <c r="P16" s="90">
        <f t="shared" si="0"/>
        <v>1574.6849999999999</v>
      </c>
      <c r="Q16" s="76">
        <v>20000</v>
      </c>
    </row>
    <row r="17" spans="1:17" ht="18" x14ac:dyDescent="0.25">
      <c r="A17" s="27" t="s">
        <v>54</v>
      </c>
      <c r="B17" s="71">
        <v>400403</v>
      </c>
      <c r="C17" s="41">
        <v>40000</v>
      </c>
      <c r="D17" s="41">
        <v>24500</v>
      </c>
      <c r="E17" s="41"/>
      <c r="F17" s="42">
        <v>40000</v>
      </c>
      <c r="G17" s="41">
        <v>0</v>
      </c>
      <c r="H17" s="42">
        <v>15000</v>
      </c>
      <c r="I17" s="54"/>
      <c r="J17" s="42">
        <v>15000</v>
      </c>
      <c r="K17" s="42"/>
      <c r="L17" s="42">
        <v>25000</v>
      </c>
      <c r="M17" s="92">
        <v>8650</v>
      </c>
      <c r="N17" s="93">
        <v>25000</v>
      </c>
      <c r="O17" s="90">
        <v>26150</v>
      </c>
      <c r="P17" s="90">
        <f t="shared" si="0"/>
        <v>39225</v>
      </c>
      <c r="Q17" s="76">
        <v>35000</v>
      </c>
    </row>
    <row r="18" spans="1:17" ht="18" x14ac:dyDescent="0.25">
      <c r="A18" s="27" t="s">
        <v>84</v>
      </c>
      <c r="B18" s="71">
        <v>400500</v>
      </c>
      <c r="C18" s="41">
        <v>300</v>
      </c>
      <c r="D18" s="41">
        <f>911+1050</f>
        <v>1961</v>
      </c>
      <c r="E18" s="41"/>
      <c r="F18" s="42">
        <v>300</v>
      </c>
      <c r="G18" s="41">
        <v>2465</v>
      </c>
      <c r="H18" s="42">
        <v>500</v>
      </c>
      <c r="I18" s="54"/>
      <c r="J18" s="42">
        <v>500</v>
      </c>
      <c r="K18" s="42"/>
      <c r="L18" s="42">
        <v>0</v>
      </c>
      <c r="M18" s="92">
        <v>4323.38</v>
      </c>
      <c r="N18" s="93"/>
      <c r="O18" s="90">
        <v>1426.86</v>
      </c>
      <c r="P18" s="90">
        <f t="shared" si="0"/>
        <v>2140.29</v>
      </c>
      <c r="Q18" s="76">
        <v>2000</v>
      </c>
    </row>
    <row r="19" spans="1:17" ht="18" x14ac:dyDescent="0.25">
      <c r="A19" s="27" t="s">
        <v>55</v>
      </c>
      <c r="B19" s="71">
        <v>400501</v>
      </c>
      <c r="C19" s="41">
        <v>2700</v>
      </c>
      <c r="D19" s="41">
        <v>0</v>
      </c>
      <c r="E19" s="41"/>
      <c r="F19" s="42">
        <v>2700</v>
      </c>
      <c r="G19" s="41">
        <v>2700</v>
      </c>
      <c r="H19" s="42">
        <v>2700</v>
      </c>
      <c r="I19" s="54"/>
      <c r="J19" s="42">
        <v>2700</v>
      </c>
      <c r="K19" s="42"/>
      <c r="L19" s="42">
        <v>2700</v>
      </c>
      <c r="M19" s="92">
        <v>2700</v>
      </c>
      <c r="N19" s="93">
        <v>2700</v>
      </c>
      <c r="O19" s="90">
        <v>2700</v>
      </c>
      <c r="P19" s="90">
        <v>2700</v>
      </c>
      <c r="Q19" s="76">
        <v>5000</v>
      </c>
    </row>
    <row r="20" spans="1:17" ht="18" x14ac:dyDescent="0.25">
      <c r="A20" s="27" t="s">
        <v>70</v>
      </c>
      <c r="B20" s="71">
        <v>400315</v>
      </c>
      <c r="C20" s="41"/>
      <c r="D20" s="41">
        <v>7666</v>
      </c>
      <c r="E20" s="41"/>
      <c r="F20" s="42">
        <v>7500</v>
      </c>
      <c r="G20" s="41">
        <v>6200</v>
      </c>
      <c r="H20" s="42"/>
      <c r="I20" s="54"/>
      <c r="J20" s="42"/>
      <c r="K20" s="42"/>
      <c r="L20" s="42"/>
      <c r="M20" s="92">
        <v>900</v>
      </c>
      <c r="N20" s="93">
        <v>2500</v>
      </c>
      <c r="O20" s="90">
        <v>8455</v>
      </c>
      <c r="P20" s="90">
        <f t="shared" si="0"/>
        <v>12682.5</v>
      </c>
      <c r="Q20" s="76">
        <v>12000</v>
      </c>
    </row>
    <row r="21" spans="1:17" ht="18" x14ac:dyDescent="0.25">
      <c r="A21" s="21" t="s">
        <v>56</v>
      </c>
      <c r="B21" s="70"/>
      <c r="C21" s="38">
        <f>SUM(C15:C20)</f>
        <v>43361</v>
      </c>
      <c r="D21" s="38">
        <f>SUM(D15:D20)</f>
        <v>35320.550000000003</v>
      </c>
      <c r="E21" s="47" t="e">
        <f>#REF!/#REF!</f>
        <v>#REF!</v>
      </c>
      <c r="F21" s="38">
        <f>SUM(F15:F20)</f>
        <v>50844</v>
      </c>
      <c r="G21" s="38">
        <f>SUM(G15:G20)</f>
        <v>16150</v>
      </c>
      <c r="H21" s="38">
        <f>SUM(H15:H20)</f>
        <v>18300</v>
      </c>
      <c r="I21" s="55">
        <f>H21/H$37</f>
        <v>2.3586212763105491E-2</v>
      </c>
      <c r="J21" s="38">
        <f>SUM(J15:J20)</f>
        <v>18300</v>
      </c>
      <c r="K21" s="55">
        <f>J21/J$37</f>
        <v>2.4987130944854902E-2</v>
      </c>
      <c r="L21" s="38">
        <f>SUM(L15:L20)</f>
        <v>27700</v>
      </c>
      <c r="M21" s="99">
        <f>SUM(M15:M20)</f>
        <v>16596.39</v>
      </c>
      <c r="N21" s="100">
        <f>SUM(N15:N20)</f>
        <v>30200</v>
      </c>
      <c r="O21" s="100">
        <f>SUM(O15:O20)</f>
        <v>39781.65</v>
      </c>
      <c r="P21" s="96">
        <f t="shared" si="0"/>
        <v>59672.475000000006</v>
      </c>
      <c r="Q21" s="78">
        <f>SUM(Q15:Q20)</f>
        <v>79000</v>
      </c>
    </row>
    <row r="22" spans="1:17" ht="18" x14ac:dyDescent="0.25">
      <c r="A22" s="27"/>
      <c r="B22" s="70"/>
      <c r="C22" s="35"/>
      <c r="D22" s="35"/>
      <c r="E22" s="35"/>
      <c r="F22" s="37"/>
      <c r="G22" s="35"/>
      <c r="H22" s="37"/>
      <c r="I22" s="56"/>
      <c r="J22" s="37"/>
      <c r="K22" s="37"/>
      <c r="L22" s="37"/>
      <c r="M22" s="97"/>
      <c r="N22" s="98"/>
      <c r="O22" s="90"/>
      <c r="P22" s="90"/>
      <c r="Q22" s="37"/>
    </row>
    <row r="23" spans="1:17" ht="18" x14ac:dyDescent="0.25">
      <c r="A23" s="21" t="s">
        <v>4</v>
      </c>
      <c r="B23" s="70"/>
      <c r="C23" s="35"/>
      <c r="D23" s="35"/>
      <c r="E23" s="35"/>
      <c r="F23" s="37"/>
      <c r="G23" s="35"/>
      <c r="H23" s="37"/>
      <c r="I23" s="56"/>
      <c r="J23" s="37"/>
      <c r="K23" s="37"/>
      <c r="L23" s="37"/>
      <c r="M23" s="97"/>
      <c r="N23" s="98"/>
      <c r="O23" s="90"/>
      <c r="P23" s="90"/>
      <c r="Q23" s="37"/>
    </row>
    <row r="24" spans="1:17" ht="18" x14ac:dyDescent="0.25">
      <c r="A24" s="27" t="s">
        <v>57</v>
      </c>
      <c r="B24" s="71">
        <v>400319</v>
      </c>
      <c r="C24" s="33">
        <v>33000</v>
      </c>
      <c r="D24" s="33">
        <v>49913</v>
      </c>
      <c r="E24" s="33"/>
      <c r="F24" s="34">
        <v>33000</v>
      </c>
      <c r="G24" s="33">
        <v>34000</v>
      </c>
      <c r="H24" s="34">
        <v>30000</v>
      </c>
      <c r="I24" s="54"/>
      <c r="J24" s="34">
        <v>34000</v>
      </c>
      <c r="K24" s="34"/>
      <c r="L24" s="34">
        <v>34000</v>
      </c>
      <c r="M24" s="92">
        <v>38000</v>
      </c>
      <c r="N24" s="93">
        <v>34000</v>
      </c>
      <c r="O24" s="90">
        <v>41000</v>
      </c>
      <c r="P24" s="90">
        <v>41000</v>
      </c>
      <c r="Q24" s="77">
        <v>40000</v>
      </c>
    </row>
    <row r="25" spans="1:17" ht="18" x14ac:dyDescent="0.25">
      <c r="A25" s="27" t="s">
        <v>100</v>
      </c>
      <c r="B25" s="71">
        <v>400310</v>
      </c>
      <c r="C25" s="41">
        <v>12000</v>
      </c>
      <c r="D25" s="41">
        <v>2000</v>
      </c>
      <c r="E25" s="41"/>
      <c r="F25" s="42">
        <v>12000</v>
      </c>
      <c r="G25" s="41"/>
      <c r="H25" s="42">
        <v>0</v>
      </c>
      <c r="I25" s="54"/>
      <c r="J25" s="42">
        <v>0</v>
      </c>
      <c r="K25" s="42"/>
      <c r="L25" s="42">
        <v>0</v>
      </c>
      <c r="M25" s="92">
        <v>0</v>
      </c>
      <c r="N25" s="93">
        <v>30000</v>
      </c>
      <c r="O25" s="90">
        <v>0</v>
      </c>
      <c r="P25" s="90">
        <f t="shared" si="0"/>
        <v>0</v>
      </c>
      <c r="Q25" s="76">
        <v>68000</v>
      </c>
    </row>
    <row r="26" spans="1:17" ht="18" x14ac:dyDescent="0.25">
      <c r="A26" s="27" t="s">
        <v>101</v>
      </c>
      <c r="B26" s="71">
        <v>400311</v>
      </c>
      <c r="C26" s="41">
        <v>4700</v>
      </c>
      <c r="D26" s="41">
        <v>4500</v>
      </c>
      <c r="E26" s="41"/>
      <c r="F26" s="42">
        <v>4700</v>
      </c>
      <c r="G26" s="41">
        <v>3200</v>
      </c>
      <c r="H26" s="42">
        <v>0</v>
      </c>
      <c r="I26" s="54"/>
      <c r="J26" s="42">
        <v>0</v>
      </c>
      <c r="K26" s="42"/>
      <c r="L26" s="42">
        <v>0</v>
      </c>
      <c r="M26" s="92">
        <v>0</v>
      </c>
      <c r="N26" s="93">
        <v>0</v>
      </c>
      <c r="O26" s="90"/>
      <c r="P26" s="90">
        <f t="shared" si="0"/>
        <v>0</v>
      </c>
      <c r="Q26" s="76">
        <v>8000</v>
      </c>
    </row>
    <row r="27" spans="1:17" ht="18" x14ac:dyDescent="0.25">
      <c r="A27" s="27" t="s">
        <v>102</v>
      </c>
      <c r="B27" s="71">
        <v>400313</v>
      </c>
      <c r="C27" s="41">
        <v>2500</v>
      </c>
      <c r="D27" s="41">
        <v>2627</v>
      </c>
      <c r="E27" s="41"/>
      <c r="F27" s="42">
        <v>2500</v>
      </c>
      <c r="G27" s="41"/>
      <c r="H27" s="42">
        <v>0</v>
      </c>
      <c r="I27" s="54"/>
      <c r="J27" s="42">
        <v>0</v>
      </c>
      <c r="K27" s="42"/>
      <c r="L27" s="42">
        <v>0</v>
      </c>
      <c r="M27" s="92">
        <v>0</v>
      </c>
      <c r="N27" s="93">
        <v>0</v>
      </c>
      <c r="O27" s="90"/>
      <c r="P27" s="90">
        <f t="shared" si="0"/>
        <v>0</v>
      </c>
      <c r="Q27" s="76">
        <v>8000</v>
      </c>
    </row>
    <row r="28" spans="1:17" ht="18" x14ac:dyDescent="0.25">
      <c r="A28" s="27" t="s">
        <v>103</v>
      </c>
      <c r="B28" s="71">
        <v>400314</v>
      </c>
      <c r="C28" s="41">
        <v>6120</v>
      </c>
      <c r="D28" s="41">
        <v>4080</v>
      </c>
      <c r="E28" s="41"/>
      <c r="F28" s="42">
        <v>6120</v>
      </c>
      <c r="G28" s="41">
        <v>5607</v>
      </c>
      <c r="H28" s="42">
        <v>4077</v>
      </c>
      <c r="I28" s="54"/>
      <c r="J28" s="42">
        <v>4077</v>
      </c>
      <c r="K28" s="42"/>
      <c r="L28" s="42">
        <v>0</v>
      </c>
      <c r="M28" s="92">
        <v>3060</v>
      </c>
      <c r="N28" s="93">
        <v>0</v>
      </c>
      <c r="O28" s="90"/>
      <c r="P28" s="90">
        <f t="shared" si="0"/>
        <v>0</v>
      </c>
      <c r="Q28" s="76">
        <v>12000</v>
      </c>
    </row>
    <row r="29" spans="1:17" ht="18" x14ac:dyDescent="0.25">
      <c r="A29" s="27" t="s">
        <v>62</v>
      </c>
      <c r="B29" s="72">
        <v>400320</v>
      </c>
      <c r="C29" s="41">
        <v>100000</v>
      </c>
      <c r="D29" s="41">
        <v>25000</v>
      </c>
      <c r="E29" s="41"/>
      <c r="F29" s="42">
        <v>100000</v>
      </c>
      <c r="G29" s="41">
        <v>0</v>
      </c>
      <c r="H29" s="42">
        <v>100000</v>
      </c>
      <c r="I29" s="54"/>
      <c r="J29" s="42">
        <v>100000</v>
      </c>
      <c r="K29" s="42"/>
      <c r="L29" s="42">
        <v>100000</v>
      </c>
      <c r="M29" s="92">
        <v>50000</v>
      </c>
      <c r="N29" s="93">
        <v>100000</v>
      </c>
      <c r="O29" s="90">
        <v>50000</v>
      </c>
      <c r="P29" s="90">
        <f t="shared" si="0"/>
        <v>75000</v>
      </c>
      <c r="Q29" s="76">
        <v>90000</v>
      </c>
    </row>
    <row r="30" spans="1:17" ht="18" x14ac:dyDescent="0.25">
      <c r="A30" s="21" t="s">
        <v>58</v>
      </c>
      <c r="B30" s="70"/>
      <c r="C30" s="38">
        <f>SUM(C24:C29)</f>
        <v>158320</v>
      </c>
      <c r="D30" s="38">
        <f>SUM(D24:D29)</f>
        <v>88120</v>
      </c>
      <c r="E30" s="47" t="e">
        <f>#REF!/#REF!</f>
        <v>#REF!</v>
      </c>
      <c r="F30" s="38">
        <f>SUM(F24:F29)</f>
        <v>158320</v>
      </c>
      <c r="G30" s="38">
        <f>SUM(G24:G29)</f>
        <v>42807</v>
      </c>
      <c r="H30" s="38">
        <f>SUM(H24:H29)</f>
        <v>134077</v>
      </c>
      <c r="I30" s="55">
        <f>H30/H$37</f>
        <v>0.17280702998026748</v>
      </c>
      <c r="J30" s="38">
        <f>SUM(J21:J29)</f>
        <v>156377</v>
      </c>
      <c r="K30" s="55">
        <f>J30/J$37</f>
        <v>0.21351981288325547</v>
      </c>
      <c r="L30" s="38">
        <f>SUM(L24:L29)</f>
        <v>134000</v>
      </c>
      <c r="M30" s="99">
        <f>SUM(M24:M29)</f>
        <v>91060</v>
      </c>
      <c r="N30" s="100">
        <f>SUM(N24:N29)</f>
        <v>164000</v>
      </c>
      <c r="O30" s="100">
        <f>SUM(O24:O29)</f>
        <v>91000</v>
      </c>
      <c r="P30" s="96">
        <f t="shared" si="0"/>
        <v>136500</v>
      </c>
      <c r="Q30" s="78">
        <f>SUM(Q24:Q29)</f>
        <v>226000</v>
      </c>
    </row>
    <row r="31" spans="1:17" ht="18" x14ac:dyDescent="0.25">
      <c r="A31" s="21"/>
      <c r="B31" s="70"/>
      <c r="C31" s="35"/>
      <c r="D31" s="35"/>
      <c r="E31" s="35"/>
      <c r="F31" s="37"/>
      <c r="G31" s="35"/>
      <c r="H31" s="37"/>
      <c r="I31" s="56"/>
      <c r="J31" s="37"/>
      <c r="K31" s="37"/>
      <c r="L31" s="37"/>
      <c r="M31" s="97"/>
      <c r="N31" s="98"/>
      <c r="O31" s="90"/>
      <c r="P31" s="90"/>
      <c r="Q31" s="37"/>
    </row>
    <row r="32" spans="1:17" ht="18" x14ac:dyDescent="0.25">
      <c r="A32" s="27"/>
      <c r="B32" s="70"/>
      <c r="C32" s="35"/>
      <c r="D32" s="35"/>
      <c r="E32" s="35"/>
      <c r="F32" s="37"/>
      <c r="G32" s="35"/>
      <c r="H32" s="37"/>
      <c r="I32" s="56"/>
      <c r="J32" s="37"/>
      <c r="K32" s="37"/>
      <c r="L32" s="37"/>
      <c r="M32" s="97"/>
      <c r="N32" s="98"/>
      <c r="O32" s="90"/>
      <c r="P32" s="90"/>
      <c r="Q32" s="37"/>
    </row>
    <row r="33" spans="1:17" ht="18" x14ac:dyDescent="0.25">
      <c r="A33" s="21" t="s">
        <v>5</v>
      </c>
      <c r="B33" s="70"/>
      <c r="C33" s="35"/>
      <c r="D33" s="35"/>
      <c r="E33" s="35"/>
      <c r="F33" s="37"/>
      <c r="G33" s="35"/>
      <c r="H33" s="37"/>
      <c r="I33" s="56"/>
      <c r="J33" s="37"/>
      <c r="K33" s="37"/>
      <c r="L33" s="37"/>
      <c r="M33" s="97"/>
      <c r="N33" s="98"/>
      <c r="O33" s="90"/>
      <c r="P33" s="90"/>
      <c r="Q33" s="37"/>
    </row>
    <row r="34" spans="1:17" ht="20.25" x14ac:dyDescent="0.4">
      <c r="A34" s="27" t="s">
        <v>59</v>
      </c>
      <c r="B34" s="71">
        <v>400406</v>
      </c>
      <c r="C34" s="33">
        <v>4000</v>
      </c>
      <c r="D34" s="33">
        <v>2405</v>
      </c>
      <c r="E34" s="33"/>
      <c r="F34" s="107">
        <v>4000</v>
      </c>
      <c r="G34" s="108">
        <v>1940</v>
      </c>
      <c r="H34" s="107">
        <v>2000</v>
      </c>
      <c r="I34" s="109"/>
      <c r="J34" s="107">
        <v>2000</v>
      </c>
      <c r="K34" s="107"/>
      <c r="L34" s="107">
        <v>4000</v>
      </c>
      <c r="M34" s="110">
        <v>2450</v>
      </c>
      <c r="N34" s="111">
        <v>5000</v>
      </c>
      <c r="O34" s="112">
        <v>4154.03</v>
      </c>
      <c r="P34" s="112">
        <f t="shared" si="0"/>
        <v>6231.0450000000001</v>
      </c>
      <c r="Q34" s="113">
        <v>5000</v>
      </c>
    </row>
    <row r="35" spans="1:17" ht="18" x14ac:dyDescent="0.25">
      <c r="A35" s="21" t="s">
        <v>60</v>
      </c>
      <c r="B35" s="70"/>
      <c r="C35" s="35"/>
      <c r="D35" s="35"/>
      <c r="E35" s="35"/>
      <c r="F35" s="37">
        <v>4000</v>
      </c>
      <c r="G35" s="35"/>
      <c r="H35" s="37">
        <v>2000</v>
      </c>
      <c r="I35" s="56"/>
      <c r="J35" s="37">
        <v>2000</v>
      </c>
      <c r="K35" s="37"/>
      <c r="L35" s="37">
        <v>4000</v>
      </c>
      <c r="M35" s="97">
        <v>2450</v>
      </c>
      <c r="N35" s="98">
        <v>5000</v>
      </c>
      <c r="O35" s="90">
        <v>4154</v>
      </c>
      <c r="P35" s="90">
        <f t="shared" si="0"/>
        <v>6231</v>
      </c>
      <c r="Q35" s="81">
        <v>5000</v>
      </c>
    </row>
    <row r="36" spans="1:17" ht="18" x14ac:dyDescent="0.25">
      <c r="A36" s="21"/>
      <c r="B36" s="70"/>
      <c r="C36" s="35"/>
      <c r="D36" s="35"/>
      <c r="E36" s="35"/>
      <c r="F36" s="37"/>
      <c r="G36" s="35"/>
      <c r="H36" s="37"/>
      <c r="I36" s="56"/>
      <c r="J36" s="37"/>
      <c r="K36" s="37"/>
      <c r="L36" s="37"/>
      <c r="M36" s="97"/>
      <c r="N36" s="98"/>
      <c r="O36" s="90"/>
      <c r="P36" s="90"/>
      <c r="Q36" s="81"/>
    </row>
    <row r="37" spans="1:17" ht="18" x14ac:dyDescent="0.25">
      <c r="A37" s="106" t="s">
        <v>6</v>
      </c>
      <c r="B37" s="73"/>
      <c r="C37" s="38" t="e">
        <f>SUM(C12,C21,C30,#REF!)</f>
        <v>#REF!</v>
      </c>
      <c r="D37" s="38" t="e">
        <f>SUM(D12,D21,D30,#REF!)</f>
        <v>#REF!</v>
      </c>
      <c r="E37" s="47" t="e">
        <f>#REF!/#REF!</f>
        <v>#REF!</v>
      </c>
      <c r="F37" s="38">
        <f>SUM(F12,F21,F30,F35)</f>
        <v>844049</v>
      </c>
      <c r="G37" s="38" t="e">
        <f>SUM(G12,G21,G30,#REF!)</f>
        <v>#REF!</v>
      </c>
      <c r="H37" s="38">
        <f t="shared" ref="H37:Q37" si="1">SUM(H12,H21,H30,H35)</f>
        <v>775877</v>
      </c>
      <c r="I37" s="38">
        <f t="shared" si="1"/>
        <v>0.99742227182916876</v>
      </c>
      <c r="J37" s="38">
        <f t="shared" si="1"/>
        <v>732377</v>
      </c>
      <c r="K37" s="38">
        <f t="shared" si="1"/>
        <v>0.99726916601695581</v>
      </c>
      <c r="L37" s="38">
        <f t="shared" si="1"/>
        <v>711200</v>
      </c>
      <c r="M37" s="38">
        <f t="shared" si="1"/>
        <v>443547.10000000003</v>
      </c>
      <c r="N37" s="38">
        <f t="shared" si="1"/>
        <v>754700</v>
      </c>
      <c r="O37" s="38">
        <f t="shared" si="1"/>
        <v>481913.19000000006</v>
      </c>
      <c r="P37" s="38">
        <f t="shared" si="1"/>
        <v>722869.78500000003</v>
      </c>
      <c r="Q37" s="78">
        <f t="shared" si="1"/>
        <v>882000</v>
      </c>
    </row>
    <row r="38" spans="1:17" ht="18" x14ac:dyDescent="0.25">
      <c r="A38" s="29"/>
      <c r="B38" s="70"/>
      <c r="C38" s="35"/>
      <c r="D38" s="35"/>
      <c r="E38" s="35"/>
      <c r="F38" s="37"/>
      <c r="G38" s="35"/>
      <c r="H38" s="37"/>
      <c r="I38" s="56"/>
      <c r="J38" s="37"/>
      <c r="K38" s="37"/>
      <c r="L38" s="37"/>
      <c r="M38" s="97"/>
      <c r="N38" s="98"/>
      <c r="O38" s="90"/>
      <c r="P38" s="90"/>
      <c r="Q38" s="37"/>
    </row>
    <row r="39" spans="1:17" ht="18" x14ac:dyDescent="0.25">
      <c r="A39" s="21"/>
      <c r="B39" s="70"/>
      <c r="C39" s="35"/>
      <c r="D39" s="35"/>
      <c r="E39" s="35"/>
      <c r="F39" s="37"/>
      <c r="G39" s="35"/>
      <c r="H39" s="37"/>
      <c r="I39" s="56"/>
      <c r="J39" s="37"/>
      <c r="K39" s="37"/>
      <c r="L39" s="37"/>
      <c r="M39" s="97"/>
      <c r="N39" s="98"/>
      <c r="O39" s="90"/>
      <c r="P39" s="90"/>
      <c r="Q39" s="37"/>
    </row>
    <row r="40" spans="1:17" ht="18" x14ac:dyDescent="0.25">
      <c r="A40" s="21" t="s">
        <v>61</v>
      </c>
      <c r="B40" s="70"/>
      <c r="C40" s="35"/>
      <c r="D40" s="35"/>
      <c r="E40" s="35"/>
      <c r="F40" s="37"/>
      <c r="G40" s="35"/>
      <c r="H40" s="37"/>
      <c r="I40" s="56"/>
      <c r="J40" s="37"/>
      <c r="K40" s="37"/>
      <c r="L40" s="37"/>
      <c r="M40" s="97"/>
      <c r="N40" s="98"/>
      <c r="O40" s="90"/>
      <c r="P40" s="90"/>
      <c r="Q40" s="37"/>
    </row>
    <row r="41" spans="1:17" ht="18" x14ac:dyDescent="0.25">
      <c r="A41" s="21"/>
      <c r="B41" s="70"/>
      <c r="C41" s="35"/>
      <c r="D41" s="35"/>
      <c r="E41" s="35"/>
      <c r="F41" s="37"/>
      <c r="G41" s="35"/>
      <c r="H41" s="37"/>
      <c r="I41" s="56"/>
      <c r="J41" s="37"/>
      <c r="K41" s="37"/>
      <c r="L41" s="37"/>
      <c r="M41" s="97"/>
      <c r="N41" s="98"/>
      <c r="O41" s="90"/>
      <c r="P41" s="90"/>
      <c r="Q41" s="37"/>
    </row>
    <row r="42" spans="1:17" ht="18" x14ac:dyDescent="0.25">
      <c r="A42" s="21" t="s">
        <v>8</v>
      </c>
      <c r="B42" s="70"/>
      <c r="C42" s="35"/>
      <c r="D42" s="35"/>
      <c r="E42" s="35"/>
      <c r="F42" s="37"/>
      <c r="G42" s="35"/>
      <c r="H42" s="37"/>
      <c r="I42" s="56"/>
      <c r="J42" s="37"/>
      <c r="K42" s="37"/>
      <c r="L42" s="37"/>
      <c r="M42" s="97"/>
      <c r="N42" s="98"/>
      <c r="O42" s="90"/>
      <c r="P42" s="90"/>
      <c r="Q42" s="37"/>
    </row>
    <row r="43" spans="1:17" ht="18" x14ac:dyDescent="0.25">
      <c r="A43" s="27" t="s">
        <v>22</v>
      </c>
      <c r="B43" s="71">
        <v>510000</v>
      </c>
      <c r="C43" s="33">
        <v>12740</v>
      </c>
      <c r="D43" s="33">
        <v>6311</v>
      </c>
      <c r="E43" s="33"/>
      <c r="F43" s="34">
        <v>12000</v>
      </c>
      <c r="G43" s="33">
        <v>5941</v>
      </c>
      <c r="H43" s="34">
        <v>12000</v>
      </c>
      <c r="I43" s="54"/>
      <c r="J43" s="34">
        <v>3000</v>
      </c>
      <c r="K43" s="34"/>
      <c r="L43" s="34">
        <v>7700</v>
      </c>
      <c r="M43" s="92">
        <v>3921.62</v>
      </c>
      <c r="N43" s="93">
        <v>8000</v>
      </c>
      <c r="O43" s="90">
        <v>5082.8999999999996</v>
      </c>
      <c r="P43" s="90">
        <f t="shared" si="0"/>
        <v>7624.3499999999995</v>
      </c>
      <c r="Q43" s="77">
        <v>8000</v>
      </c>
    </row>
    <row r="44" spans="1:17" ht="18" x14ac:dyDescent="0.25">
      <c r="A44" s="27" t="s">
        <v>104</v>
      </c>
      <c r="B44" s="71">
        <v>520100</v>
      </c>
      <c r="C44" s="41">
        <v>43680</v>
      </c>
      <c r="D44" s="41">
        <v>22964</v>
      </c>
      <c r="E44" s="41"/>
      <c r="F44" s="42">
        <v>43680</v>
      </c>
      <c r="G44" s="41">
        <v>29566</v>
      </c>
      <c r="H44" s="42">
        <v>43680</v>
      </c>
      <c r="I44" s="54"/>
      <c r="J44" s="42">
        <f>43680-3500</f>
        <v>40180</v>
      </c>
      <c r="K44" s="42"/>
      <c r="L44" s="42">
        <v>41190</v>
      </c>
      <c r="M44" s="92">
        <v>23761.79</v>
      </c>
      <c r="N44" s="93">
        <v>49920</v>
      </c>
      <c r="O44" s="90">
        <v>24284.15</v>
      </c>
      <c r="P44" s="90">
        <f t="shared" si="0"/>
        <v>36426.225000000006</v>
      </c>
      <c r="Q44" s="76">
        <v>41190</v>
      </c>
    </row>
    <row r="45" spans="1:17" ht="18" x14ac:dyDescent="0.25">
      <c r="A45" s="27" t="s">
        <v>23</v>
      </c>
      <c r="B45" s="71">
        <v>540000</v>
      </c>
      <c r="C45" s="41">
        <v>192600</v>
      </c>
      <c r="D45" s="41">
        <v>120234</v>
      </c>
      <c r="E45" s="41"/>
      <c r="F45" s="42">
        <v>190600</v>
      </c>
      <c r="G45" s="41">
        <v>173550</v>
      </c>
      <c r="H45" s="42">
        <v>153600</v>
      </c>
      <c r="I45" s="54"/>
      <c r="J45" s="42">
        <f>153600</f>
        <v>153600</v>
      </c>
      <c r="K45" s="42"/>
      <c r="L45" s="42">
        <v>124540</v>
      </c>
      <c r="M45" s="92">
        <v>71983.149999999994</v>
      </c>
      <c r="N45" s="93">
        <v>172941</v>
      </c>
      <c r="O45" s="90">
        <v>86251.03</v>
      </c>
      <c r="P45" s="90">
        <f t="shared" si="0"/>
        <v>129376.545</v>
      </c>
      <c r="Q45" s="76">
        <v>156140</v>
      </c>
    </row>
    <row r="46" spans="1:17" ht="18" x14ac:dyDescent="0.25">
      <c r="A46" s="27" t="s">
        <v>105</v>
      </c>
      <c r="B46" s="71">
        <v>540005</v>
      </c>
      <c r="C46" s="41">
        <v>11315</v>
      </c>
      <c r="D46" s="41">
        <v>7543</v>
      </c>
      <c r="E46" s="41"/>
      <c r="F46" s="42">
        <v>12699</v>
      </c>
      <c r="G46" s="41">
        <v>10188</v>
      </c>
      <c r="H46" s="42">
        <v>5202</v>
      </c>
      <c r="I46" s="54"/>
      <c r="J46" s="42">
        <v>5202</v>
      </c>
      <c r="K46" s="42"/>
      <c r="L46" s="42">
        <v>9340</v>
      </c>
      <c r="M46" s="92">
        <v>4143.8</v>
      </c>
      <c r="N46" s="93">
        <v>9340</v>
      </c>
      <c r="O46" s="90">
        <v>6837.28</v>
      </c>
      <c r="P46" s="90">
        <f t="shared" si="0"/>
        <v>10255.92</v>
      </c>
      <c r="Q46" s="76">
        <v>12699</v>
      </c>
    </row>
    <row r="47" spans="1:17" ht="18" x14ac:dyDescent="0.25">
      <c r="A47" s="27" t="s">
        <v>106</v>
      </c>
      <c r="B47" s="71">
        <v>540030</v>
      </c>
      <c r="C47" s="41">
        <v>85000</v>
      </c>
      <c r="D47" s="41">
        <v>56667</v>
      </c>
      <c r="E47" s="41"/>
      <c r="F47" s="42">
        <v>85000</v>
      </c>
      <c r="G47" s="41">
        <v>79917</v>
      </c>
      <c r="H47" s="42">
        <v>85000</v>
      </c>
      <c r="I47" s="54"/>
      <c r="J47" s="42">
        <v>85000</v>
      </c>
      <c r="K47" s="42"/>
      <c r="L47" s="42">
        <v>85000</v>
      </c>
      <c r="M47" s="92">
        <v>56666.720000000001</v>
      </c>
      <c r="N47" s="93">
        <v>80000</v>
      </c>
      <c r="O47" s="90">
        <v>84125</v>
      </c>
      <c r="P47" s="90">
        <f t="shared" si="0"/>
        <v>126187.5</v>
      </c>
      <c r="Q47" s="76">
        <v>95000</v>
      </c>
    </row>
    <row r="48" spans="1:17" ht="18" x14ac:dyDescent="0.25">
      <c r="A48" s="27" t="s">
        <v>24</v>
      </c>
      <c r="B48" s="71">
        <v>540050</v>
      </c>
      <c r="C48" s="41">
        <v>70200</v>
      </c>
      <c r="D48" s="41">
        <v>46800</v>
      </c>
      <c r="E48" s="41"/>
      <c r="F48" s="42">
        <v>60200</v>
      </c>
      <c r="G48" s="41">
        <v>64350</v>
      </c>
      <c r="H48" s="42">
        <v>40200</v>
      </c>
      <c r="I48" s="54"/>
      <c r="J48" s="42">
        <v>40200</v>
      </c>
      <c r="K48" s="42"/>
      <c r="L48" s="42">
        <v>61040</v>
      </c>
      <c r="M48" s="92">
        <v>12500</v>
      </c>
      <c r="N48" s="93">
        <v>61043</v>
      </c>
      <c r="O48" s="90">
        <v>26977.55</v>
      </c>
      <c r="P48" s="90">
        <f t="shared" si="0"/>
        <v>40466.324999999997</v>
      </c>
      <c r="Q48" s="76">
        <v>77660</v>
      </c>
    </row>
    <row r="49" spans="1:17" ht="18" x14ac:dyDescent="0.25">
      <c r="A49" s="27" t="s">
        <v>26</v>
      </c>
      <c r="B49" s="71">
        <v>540080</v>
      </c>
      <c r="C49" s="41">
        <v>21274</v>
      </c>
      <c r="D49" s="41">
        <v>12337</v>
      </c>
      <c r="E49" s="41"/>
      <c r="F49" s="42">
        <v>15274</v>
      </c>
      <c r="G49" s="41">
        <v>14000</v>
      </c>
      <c r="H49" s="42">
        <v>0</v>
      </c>
      <c r="I49" s="54"/>
      <c r="J49" s="42">
        <v>0</v>
      </c>
      <c r="K49" s="42"/>
      <c r="L49" s="42">
        <v>15750</v>
      </c>
      <c r="M49" s="92">
        <v>6230.78</v>
      </c>
      <c r="N49" s="93">
        <v>19750</v>
      </c>
      <c r="O49" s="90">
        <v>11045.38</v>
      </c>
      <c r="P49" s="90">
        <f t="shared" si="0"/>
        <v>16568.07</v>
      </c>
      <c r="Q49" s="76">
        <v>10700</v>
      </c>
    </row>
    <row r="50" spans="1:17" ht="18" x14ac:dyDescent="0.25">
      <c r="A50" s="27" t="s">
        <v>27</v>
      </c>
      <c r="B50" s="71">
        <v>540085</v>
      </c>
      <c r="C50" s="41">
        <v>3400</v>
      </c>
      <c r="D50" s="41">
        <v>4200</v>
      </c>
      <c r="E50" s="41"/>
      <c r="F50" s="42">
        <v>8400</v>
      </c>
      <c r="G50" s="41">
        <v>7700</v>
      </c>
      <c r="H50" s="42">
        <v>8400</v>
      </c>
      <c r="I50" s="54"/>
      <c r="J50" s="42">
        <v>8400</v>
      </c>
      <c r="K50" s="42"/>
      <c r="L50" s="42">
        <v>7200</v>
      </c>
      <c r="M50" s="92">
        <v>1600</v>
      </c>
      <c r="N50" s="93">
        <v>2500</v>
      </c>
      <c r="O50" s="90">
        <v>800</v>
      </c>
      <c r="P50" s="90">
        <f t="shared" si="0"/>
        <v>1200</v>
      </c>
      <c r="Q50" s="76">
        <v>1200</v>
      </c>
    </row>
    <row r="51" spans="1:17" ht="18" x14ac:dyDescent="0.25">
      <c r="A51" s="27" t="s">
        <v>28</v>
      </c>
      <c r="B51" s="71">
        <v>540090</v>
      </c>
      <c r="C51" s="41">
        <v>0</v>
      </c>
      <c r="D51" s="41">
        <v>0</v>
      </c>
      <c r="E51" s="41"/>
      <c r="F51" s="42">
        <v>0</v>
      </c>
      <c r="G51" s="41">
        <v>0</v>
      </c>
      <c r="H51" s="42">
        <v>0</v>
      </c>
      <c r="I51" s="54"/>
      <c r="J51" s="42">
        <v>0</v>
      </c>
      <c r="K51" s="42"/>
      <c r="L51" s="42"/>
      <c r="M51" s="92">
        <v>560.66</v>
      </c>
      <c r="N51" s="93">
        <v>0</v>
      </c>
      <c r="O51" s="90">
        <v>1505.1</v>
      </c>
      <c r="P51" s="90">
        <f t="shared" si="0"/>
        <v>2257.6499999999996</v>
      </c>
      <c r="Q51" s="76">
        <v>12419</v>
      </c>
    </row>
    <row r="52" spans="1:17" ht="18" x14ac:dyDescent="0.25">
      <c r="A52" s="27" t="s">
        <v>29</v>
      </c>
      <c r="B52" s="71">
        <v>540100</v>
      </c>
      <c r="C52" s="41">
        <v>18225</v>
      </c>
      <c r="D52" s="41">
        <v>10736</v>
      </c>
      <c r="E52" s="41"/>
      <c r="F52" s="42">
        <v>17250</v>
      </c>
      <c r="G52" s="41">
        <v>14434</v>
      </c>
      <c r="H52" s="42">
        <v>17250</v>
      </c>
      <c r="I52" s="54"/>
      <c r="J52" s="42">
        <v>17250</v>
      </c>
      <c r="K52" s="42"/>
      <c r="L52" s="42">
        <v>14545</v>
      </c>
      <c r="M52" s="92">
        <v>9456.34</v>
      </c>
      <c r="N52" s="93">
        <v>14399</v>
      </c>
      <c r="O52" s="90">
        <v>9064.24</v>
      </c>
      <c r="P52" s="90">
        <f t="shared" si="0"/>
        <v>13596.36</v>
      </c>
      <c r="Q52" s="76">
        <v>15605</v>
      </c>
    </row>
    <row r="53" spans="1:17" ht="18" x14ac:dyDescent="0.25">
      <c r="A53" s="27" t="s">
        <v>107</v>
      </c>
      <c r="B53" s="71">
        <v>540001</v>
      </c>
      <c r="C53" s="41"/>
      <c r="D53" s="41"/>
      <c r="E53" s="41"/>
      <c r="F53" s="42"/>
      <c r="G53" s="41"/>
      <c r="H53" s="42"/>
      <c r="I53" s="54"/>
      <c r="J53" s="42"/>
      <c r="K53" s="42"/>
      <c r="L53" s="42"/>
      <c r="M53" s="92">
        <v>23000</v>
      </c>
      <c r="N53" s="93">
        <v>0</v>
      </c>
      <c r="O53" s="90">
        <v>0</v>
      </c>
      <c r="P53" s="90">
        <f t="shared" si="0"/>
        <v>0</v>
      </c>
      <c r="Q53" s="76">
        <v>0</v>
      </c>
    </row>
    <row r="54" spans="1:17" ht="18" x14ac:dyDescent="0.25">
      <c r="A54" s="27" t="s">
        <v>108</v>
      </c>
      <c r="B54" s="71">
        <v>540051</v>
      </c>
      <c r="C54" s="41">
        <v>0</v>
      </c>
      <c r="D54" s="43">
        <v>0</v>
      </c>
      <c r="E54" s="43"/>
      <c r="F54" s="42">
        <v>0</v>
      </c>
      <c r="G54" s="41">
        <v>0</v>
      </c>
      <c r="H54" s="42">
        <v>17000</v>
      </c>
      <c r="I54" s="54"/>
      <c r="J54" s="42">
        <v>17000</v>
      </c>
      <c r="K54" s="42"/>
      <c r="L54" s="42">
        <v>25000</v>
      </c>
      <c r="M54" s="92">
        <v>12569.23</v>
      </c>
      <c r="N54" s="93">
        <v>10000</v>
      </c>
      <c r="O54" s="90">
        <v>11109.74</v>
      </c>
      <c r="P54" s="90">
        <f t="shared" si="0"/>
        <v>16664.61</v>
      </c>
      <c r="Q54" s="76">
        <v>0</v>
      </c>
    </row>
    <row r="55" spans="1:17" ht="18" x14ac:dyDescent="0.25">
      <c r="A55" s="27" t="s">
        <v>25</v>
      </c>
      <c r="B55" s="71">
        <v>540075</v>
      </c>
      <c r="C55" s="41">
        <v>1900</v>
      </c>
      <c r="D55" s="41">
        <v>672</v>
      </c>
      <c r="E55" s="41"/>
      <c r="F55" s="42">
        <v>1000</v>
      </c>
      <c r="G55" s="41">
        <v>595</v>
      </c>
      <c r="H55" s="42">
        <v>0</v>
      </c>
      <c r="I55" s="54"/>
      <c r="J55" s="42">
        <v>0</v>
      </c>
      <c r="K55" s="42"/>
      <c r="L55" s="42">
        <v>1000</v>
      </c>
      <c r="M55" s="92">
        <v>346.06</v>
      </c>
      <c r="N55" s="93">
        <v>1000</v>
      </c>
      <c r="O55" s="90">
        <v>750.5</v>
      </c>
      <c r="P55" s="90">
        <f t="shared" si="0"/>
        <v>1125.75</v>
      </c>
      <c r="Q55" s="76">
        <v>2000</v>
      </c>
    </row>
    <row r="56" spans="1:17" ht="18" x14ac:dyDescent="0.25">
      <c r="A56" s="27" t="s">
        <v>30</v>
      </c>
      <c r="B56" s="71">
        <v>540110</v>
      </c>
      <c r="C56" s="41">
        <v>1500</v>
      </c>
      <c r="D56" s="41">
        <v>586</v>
      </c>
      <c r="E56" s="41"/>
      <c r="F56" s="42">
        <v>1500</v>
      </c>
      <c r="G56" s="41">
        <v>444</v>
      </c>
      <c r="H56" s="42">
        <v>900</v>
      </c>
      <c r="I56" s="54"/>
      <c r="J56" s="42">
        <v>900</v>
      </c>
      <c r="K56" s="42"/>
      <c r="L56" s="42">
        <v>900</v>
      </c>
      <c r="M56" s="92">
        <v>613</v>
      </c>
      <c r="N56" s="93">
        <v>1920</v>
      </c>
      <c r="O56" s="90">
        <v>657.21</v>
      </c>
      <c r="P56" s="90">
        <f t="shared" si="0"/>
        <v>985.81500000000005</v>
      </c>
      <c r="Q56" s="76">
        <v>2000</v>
      </c>
    </row>
    <row r="57" spans="1:17" ht="18" x14ac:dyDescent="0.25">
      <c r="A57" s="27" t="s">
        <v>109</v>
      </c>
      <c r="B57" s="71">
        <v>540120</v>
      </c>
      <c r="C57" s="41">
        <v>1200</v>
      </c>
      <c r="D57" s="41">
        <v>1091</v>
      </c>
      <c r="E57" s="41"/>
      <c r="F57" s="42">
        <v>1900</v>
      </c>
      <c r="G57" s="41">
        <v>1103</v>
      </c>
      <c r="H57" s="42">
        <v>1300</v>
      </c>
      <c r="I57" s="54"/>
      <c r="J57" s="42">
        <v>1300</v>
      </c>
      <c r="K57" s="42"/>
      <c r="L57" s="42">
        <v>1300</v>
      </c>
      <c r="M57" s="92">
        <v>680.15</v>
      </c>
      <c r="N57" s="93">
        <v>1300</v>
      </c>
      <c r="O57" s="90">
        <v>135</v>
      </c>
      <c r="P57" s="90">
        <f t="shared" si="0"/>
        <v>202.5</v>
      </c>
      <c r="Q57" s="76">
        <v>1500</v>
      </c>
    </row>
    <row r="58" spans="1:17" ht="18" x14ac:dyDescent="0.25">
      <c r="A58" s="27" t="s">
        <v>110</v>
      </c>
      <c r="B58" s="71">
        <v>540140</v>
      </c>
      <c r="C58" s="41">
        <v>1700</v>
      </c>
      <c r="D58" s="41">
        <v>3936</v>
      </c>
      <c r="E58" s="41"/>
      <c r="F58" s="42">
        <v>5230</v>
      </c>
      <c r="G58" s="41">
        <v>4040</v>
      </c>
      <c r="H58" s="42">
        <v>5230</v>
      </c>
      <c r="I58" s="54"/>
      <c r="J58" s="42">
        <v>5230</v>
      </c>
      <c r="K58" s="42"/>
      <c r="L58" s="42">
        <v>4000</v>
      </c>
      <c r="M58" s="92">
        <v>174.5</v>
      </c>
      <c r="N58" s="93">
        <v>1000</v>
      </c>
      <c r="O58" s="90">
        <v>3292.25</v>
      </c>
      <c r="P58" s="90">
        <f t="shared" si="0"/>
        <v>4938.375</v>
      </c>
      <c r="Q58" s="76">
        <v>4000</v>
      </c>
    </row>
    <row r="59" spans="1:17" ht="18" x14ac:dyDescent="0.25">
      <c r="A59" s="27" t="s">
        <v>31</v>
      </c>
      <c r="B59" s="71">
        <v>540150</v>
      </c>
      <c r="C59" s="41">
        <v>10000</v>
      </c>
      <c r="D59" s="41">
        <v>1000</v>
      </c>
      <c r="E59" s="41"/>
      <c r="F59" s="42">
        <v>12500</v>
      </c>
      <c r="G59" s="41">
        <v>5000</v>
      </c>
      <c r="H59" s="42">
        <v>12500</v>
      </c>
      <c r="I59" s="54"/>
      <c r="J59" s="42">
        <v>12500</v>
      </c>
      <c r="K59" s="42"/>
      <c r="L59" s="42">
        <v>9350</v>
      </c>
      <c r="M59" s="92">
        <v>0</v>
      </c>
      <c r="N59" s="93">
        <v>12000</v>
      </c>
      <c r="O59" s="90">
        <v>6000</v>
      </c>
      <c r="P59" s="90">
        <f t="shared" si="0"/>
        <v>9000</v>
      </c>
      <c r="Q59" s="76">
        <v>13000</v>
      </c>
    </row>
    <row r="60" spans="1:17" ht="18" x14ac:dyDescent="0.25">
      <c r="A60" s="27" t="s">
        <v>90</v>
      </c>
      <c r="B60" s="71">
        <v>540230</v>
      </c>
      <c r="C60" s="41">
        <v>800</v>
      </c>
      <c r="D60" s="41">
        <v>200</v>
      </c>
      <c r="E60" s="41"/>
      <c r="F60" s="42">
        <v>800</v>
      </c>
      <c r="G60" s="41">
        <v>325</v>
      </c>
      <c r="H60" s="42">
        <v>3125</v>
      </c>
      <c r="I60" s="54"/>
      <c r="J60" s="42">
        <v>3125</v>
      </c>
      <c r="K60" s="42"/>
      <c r="L60" s="42">
        <v>1350</v>
      </c>
      <c r="M60" s="92">
        <v>0</v>
      </c>
      <c r="N60" s="93">
        <v>1000</v>
      </c>
      <c r="O60" s="90">
        <v>1082</v>
      </c>
      <c r="P60" s="90">
        <f t="shared" si="0"/>
        <v>1623</v>
      </c>
      <c r="Q60" s="76">
        <v>750</v>
      </c>
    </row>
    <row r="61" spans="1:17" ht="30" customHeight="1" x14ac:dyDescent="0.25">
      <c r="A61" s="27" t="s">
        <v>86</v>
      </c>
      <c r="B61" s="70">
        <v>540115</v>
      </c>
      <c r="C61" s="41"/>
      <c r="D61" s="41"/>
      <c r="E61" s="41"/>
      <c r="F61" s="42"/>
      <c r="G61" s="41"/>
      <c r="H61" s="42">
        <v>2500</v>
      </c>
      <c r="I61" s="54"/>
      <c r="J61" s="42">
        <v>2500</v>
      </c>
      <c r="K61" s="42"/>
      <c r="L61" s="42">
        <v>2500</v>
      </c>
      <c r="M61" s="92">
        <v>1496.8</v>
      </c>
      <c r="N61" s="93">
        <v>2500</v>
      </c>
      <c r="O61" s="90">
        <v>1468.1</v>
      </c>
      <c r="P61" s="90">
        <f t="shared" si="0"/>
        <v>2202.1499999999996</v>
      </c>
      <c r="Q61" s="76">
        <v>2500</v>
      </c>
    </row>
    <row r="62" spans="1:17" ht="18" x14ac:dyDescent="0.25">
      <c r="A62" s="27" t="s">
        <v>111</v>
      </c>
      <c r="B62" s="70"/>
      <c r="C62" s="41">
        <v>0</v>
      </c>
      <c r="D62" s="41">
        <v>0</v>
      </c>
      <c r="E62" s="41"/>
      <c r="F62" s="42">
        <v>0</v>
      </c>
      <c r="G62" s="41">
        <v>24026</v>
      </c>
      <c r="H62" s="42"/>
      <c r="I62" s="54"/>
      <c r="J62" s="42"/>
      <c r="K62" s="42"/>
      <c r="L62" s="42"/>
      <c r="M62" s="92"/>
      <c r="N62" s="93"/>
      <c r="O62" s="90"/>
      <c r="P62" s="90">
        <f t="shared" si="0"/>
        <v>0</v>
      </c>
      <c r="Q62" s="42"/>
    </row>
    <row r="63" spans="1:17" ht="18" x14ac:dyDescent="0.25">
      <c r="A63" s="21" t="s">
        <v>9</v>
      </c>
      <c r="B63" s="70"/>
      <c r="C63" s="38">
        <f>SUM(C43:C62)</f>
        <v>475534</v>
      </c>
      <c r="D63" s="38">
        <f>SUM(D43:D62)</f>
        <v>295277</v>
      </c>
      <c r="E63" s="48" t="e">
        <f>#REF!/#REF!</f>
        <v>#REF!</v>
      </c>
      <c r="F63" s="38">
        <f>SUM(F43:F62)</f>
        <v>468033</v>
      </c>
      <c r="G63" s="38">
        <f>SUM(G43:G62)</f>
        <v>435179</v>
      </c>
      <c r="H63" s="38">
        <f>SUM(H43:H62)</f>
        <v>407887</v>
      </c>
      <c r="I63" s="57">
        <f>H63/H$119</f>
        <v>0.52503420747428486</v>
      </c>
      <c r="J63" s="38">
        <f>SUM(J43:J62)</f>
        <v>395387</v>
      </c>
      <c r="K63" s="57">
        <f>J63/J$119</f>
        <v>0.53715440096620326</v>
      </c>
      <c r="L63" s="38">
        <f>SUM(L43:L62)</f>
        <v>411705</v>
      </c>
      <c r="M63" s="99">
        <f>SUM(M43:M62)</f>
        <v>229704.6</v>
      </c>
      <c r="N63" s="100">
        <f>SUM(N43:N62)</f>
        <v>448613</v>
      </c>
      <c r="O63" s="100">
        <f>SUM(O43:O62)</f>
        <v>280467.43</v>
      </c>
      <c r="P63" s="96">
        <f t="shared" si="0"/>
        <v>420701.14500000002</v>
      </c>
      <c r="Q63" s="78">
        <f>SUM(Q43:Q62)</f>
        <v>456363</v>
      </c>
    </row>
    <row r="64" spans="1:17" ht="18.75" customHeight="1" x14ac:dyDescent="0.25">
      <c r="A64" s="21"/>
      <c r="B64" s="70"/>
      <c r="C64" s="33"/>
      <c r="D64" s="33"/>
      <c r="E64" s="33"/>
      <c r="F64" s="34"/>
      <c r="G64" s="33"/>
      <c r="H64" s="34"/>
      <c r="I64" s="54"/>
      <c r="J64" s="34"/>
      <c r="K64" s="34"/>
      <c r="L64" s="34"/>
      <c r="M64" s="92"/>
      <c r="N64" s="93"/>
      <c r="O64" s="90"/>
      <c r="P64" s="90"/>
      <c r="Q64" s="34"/>
    </row>
    <row r="65" spans="1:17" ht="18.75" customHeight="1" x14ac:dyDescent="0.25">
      <c r="A65" s="21"/>
      <c r="B65" s="70"/>
      <c r="C65" s="33"/>
      <c r="D65" s="33"/>
      <c r="E65" s="33"/>
      <c r="F65" s="34"/>
      <c r="G65" s="33"/>
      <c r="H65" s="34"/>
      <c r="I65" s="54"/>
      <c r="J65" s="34"/>
      <c r="K65" s="34"/>
      <c r="L65" s="34"/>
      <c r="M65" s="92"/>
      <c r="N65" s="93"/>
      <c r="O65" s="90"/>
      <c r="P65" s="90"/>
      <c r="Q65" s="34"/>
    </row>
    <row r="66" spans="1:17" ht="18" x14ac:dyDescent="0.25">
      <c r="A66" s="21" t="s">
        <v>112</v>
      </c>
      <c r="B66" s="70"/>
      <c r="C66" s="35"/>
      <c r="D66" s="35"/>
      <c r="E66" s="35"/>
      <c r="F66" s="37"/>
      <c r="G66" s="35"/>
      <c r="H66" s="37"/>
      <c r="I66" s="56"/>
      <c r="J66" s="37"/>
      <c r="K66" s="37"/>
      <c r="L66" s="37"/>
      <c r="M66" s="97"/>
      <c r="N66" s="98"/>
      <c r="O66" s="90"/>
      <c r="P66" s="90"/>
      <c r="Q66" s="37"/>
    </row>
    <row r="67" spans="1:17" ht="18" x14ac:dyDescent="0.25">
      <c r="A67" s="27" t="s">
        <v>32</v>
      </c>
      <c r="B67" s="71">
        <v>520000</v>
      </c>
      <c r="C67" s="33">
        <v>56600</v>
      </c>
      <c r="D67" s="33">
        <v>44703</v>
      </c>
      <c r="E67" s="33"/>
      <c r="F67" s="34">
        <v>56600</v>
      </c>
      <c r="G67" s="33">
        <v>41476</v>
      </c>
      <c r="H67" s="34">
        <v>56600</v>
      </c>
      <c r="I67" s="54"/>
      <c r="J67" s="34">
        <v>54000</v>
      </c>
      <c r="K67" s="34"/>
      <c r="L67" s="34">
        <v>65000</v>
      </c>
      <c r="M67" s="92">
        <v>48892.59</v>
      </c>
      <c r="N67" s="93">
        <v>69000</v>
      </c>
      <c r="O67" s="90">
        <v>54403.98</v>
      </c>
      <c r="P67" s="90">
        <f t="shared" si="0"/>
        <v>81605.97</v>
      </c>
      <c r="Q67" s="77">
        <v>96000</v>
      </c>
    </row>
    <row r="68" spans="1:17" ht="18" x14ac:dyDescent="0.25">
      <c r="A68" s="27" t="s">
        <v>33</v>
      </c>
      <c r="B68" s="71">
        <v>520005</v>
      </c>
      <c r="C68" s="41">
        <v>6000</v>
      </c>
      <c r="D68" s="41">
        <v>869</v>
      </c>
      <c r="E68" s="41"/>
      <c r="F68" s="42">
        <v>6000</v>
      </c>
      <c r="G68" s="41">
        <v>0</v>
      </c>
      <c r="H68" s="42">
        <v>6000</v>
      </c>
      <c r="I68" s="54"/>
      <c r="J68" s="42"/>
      <c r="K68" s="42"/>
      <c r="L68" s="42">
        <v>5000</v>
      </c>
      <c r="M68" s="92">
        <v>0</v>
      </c>
      <c r="N68" s="93">
        <v>5000</v>
      </c>
      <c r="O68" s="90">
        <v>2995.97</v>
      </c>
      <c r="P68" s="90">
        <f t="shared" ref="P68:P121" si="2">O68*1.5</f>
        <v>4493.9549999999999</v>
      </c>
      <c r="Q68" s="76">
        <v>0</v>
      </c>
    </row>
    <row r="69" spans="1:17" ht="18" x14ac:dyDescent="0.25">
      <c r="A69" s="27" t="s">
        <v>34</v>
      </c>
      <c r="B69" s="71">
        <v>520010</v>
      </c>
      <c r="C69" s="41">
        <v>75000</v>
      </c>
      <c r="D69" s="41">
        <v>54449</v>
      </c>
      <c r="E69" s="41"/>
      <c r="F69" s="42">
        <v>80000</v>
      </c>
      <c r="G69" s="41">
        <v>54753</v>
      </c>
      <c r="H69" s="42">
        <v>80000</v>
      </c>
      <c r="I69" s="54"/>
      <c r="J69" s="42">
        <v>80000</v>
      </c>
      <c r="K69" s="42"/>
      <c r="L69" s="42">
        <v>82000</v>
      </c>
      <c r="M69" s="92">
        <v>47614.559999999998</v>
      </c>
      <c r="N69" s="93">
        <v>82000</v>
      </c>
      <c r="O69" s="90">
        <v>74179.960000000006</v>
      </c>
      <c r="P69" s="90">
        <f t="shared" si="2"/>
        <v>111269.94</v>
      </c>
      <c r="Q69" s="76">
        <v>85000</v>
      </c>
    </row>
    <row r="70" spans="1:17" ht="18" x14ac:dyDescent="0.25">
      <c r="A70" s="27" t="s">
        <v>113</v>
      </c>
      <c r="B70" s="71">
        <v>520020</v>
      </c>
      <c r="C70" s="41">
        <v>18500</v>
      </c>
      <c r="D70" s="41">
        <v>13538</v>
      </c>
      <c r="E70" s="41"/>
      <c r="F70" s="42">
        <v>19000</v>
      </c>
      <c r="G70" s="41">
        <v>20991</v>
      </c>
      <c r="H70" s="42">
        <v>19500</v>
      </c>
      <c r="I70" s="54"/>
      <c r="J70" s="42">
        <v>19500</v>
      </c>
      <c r="K70" s="42"/>
      <c r="L70" s="42">
        <v>25000</v>
      </c>
      <c r="M70" s="92">
        <v>17713.25</v>
      </c>
      <c r="N70" s="93">
        <v>25000</v>
      </c>
      <c r="O70" s="90">
        <v>23125.33</v>
      </c>
      <c r="P70" s="90">
        <f t="shared" si="2"/>
        <v>34687.995000000003</v>
      </c>
      <c r="Q70" s="76">
        <v>40000</v>
      </c>
    </row>
    <row r="71" spans="1:17" ht="18" x14ac:dyDescent="0.25">
      <c r="A71" s="27" t="s">
        <v>35</v>
      </c>
      <c r="B71" s="71">
        <v>520070</v>
      </c>
      <c r="C71" s="41">
        <v>13500</v>
      </c>
      <c r="D71" s="41">
        <v>9378</v>
      </c>
      <c r="E71" s="41"/>
      <c r="F71" s="42">
        <v>13500</v>
      </c>
      <c r="G71" s="41">
        <v>9607</v>
      </c>
      <c r="H71" s="42">
        <v>13500</v>
      </c>
      <c r="I71" s="54"/>
      <c r="J71" s="42">
        <v>13500</v>
      </c>
      <c r="K71" s="42"/>
      <c r="L71" s="42">
        <v>13500</v>
      </c>
      <c r="M71" s="92">
        <v>9356.56</v>
      </c>
      <c r="N71" s="93">
        <v>15000</v>
      </c>
      <c r="O71" s="90">
        <v>9100.2800000000007</v>
      </c>
      <c r="P71" s="90">
        <f t="shared" si="2"/>
        <v>13650.420000000002</v>
      </c>
      <c r="Q71" s="76">
        <v>17500</v>
      </c>
    </row>
    <row r="72" spans="1:17" ht="18" x14ac:dyDescent="0.25">
      <c r="A72" s="21" t="s">
        <v>124</v>
      </c>
      <c r="B72" s="70"/>
      <c r="C72" s="38">
        <f>SUM(C67:C71)</f>
        <v>169600</v>
      </c>
      <c r="D72" s="38">
        <f>SUM(D67:D71)</f>
        <v>122937</v>
      </c>
      <c r="E72" s="48" t="e">
        <f>#REF!/#REF!</f>
        <v>#REF!</v>
      </c>
      <c r="F72" s="38">
        <f>SUM(F67:F71)</f>
        <v>175100</v>
      </c>
      <c r="G72" s="38">
        <f>SUM(G67:G71)</f>
        <v>126827</v>
      </c>
      <c r="H72" s="38">
        <f>SUM(H67:H71)</f>
        <v>175600</v>
      </c>
      <c r="I72" s="57">
        <f>H72/H$119</f>
        <v>0.22603320731595863</v>
      </c>
      <c r="J72" s="38">
        <f>SUM(J67:J71)</f>
        <v>167000</v>
      </c>
      <c r="K72" s="57">
        <f>J72/J$119</f>
        <v>0.22687843798950383</v>
      </c>
      <c r="L72" s="38">
        <f>SUM(L67:L71)</f>
        <v>190500</v>
      </c>
      <c r="M72" s="99">
        <f>SUM(M67:M71)</f>
        <v>123576.95999999999</v>
      </c>
      <c r="N72" s="100">
        <f>SUM(N67:N71)</f>
        <v>196000</v>
      </c>
      <c r="O72" s="100">
        <f>SUM(O67:O71)</f>
        <v>163805.51999999999</v>
      </c>
      <c r="P72" s="96">
        <f t="shared" si="2"/>
        <v>245708.27999999997</v>
      </c>
      <c r="Q72" s="78">
        <f>SUM(Q67:Q71)</f>
        <v>238500</v>
      </c>
    </row>
    <row r="73" spans="1:17" ht="18" x14ac:dyDescent="0.25">
      <c r="A73" s="21"/>
      <c r="B73" s="70"/>
      <c r="C73" s="35"/>
      <c r="D73" s="35"/>
      <c r="E73" s="35"/>
      <c r="F73" s="37"/>
      <c r="G73" s="35"/>
      <c r="H73" s="37"/>
      <c r="I73" s="56"/>
      <c r="J73" s="37"/>
      <c r="K73" s="37"/>
      <c r="L73" s="37"/>
      <c r="M73" s="97"/>
      <c r="N73" s="98"/>
      <c r="O73" s="90"/>
      <c r="P73" s="90"/>
      <c r="Q73" s="81"/>
    </row>
    <row r="74" spans="1:17" ht="18" x14ac:dyDescent="0.25">
      <c r="A74" s="21" t="s">
        <v>114</v>
      </c>
      <c r="B74" s="70"/>
      <c r="C74" s="35"/>
      <c r="D74" s="35"/>
      <c r="E74" s="35"/>
      <c r="F74" s="37"/>
      <c r="G74" s="35"/>
      <c r="H74" s="37"/>
      <c r="I74" s="56"/>
      <c r="J74" s="37"/>
      <c r="K74" s="37"/>
      <c r="L74" s="37"/>
      <c r="M74" s="97"/>
      <c r="N74" s="98"/>
      <c r="O74" s="90"/>
      <c r="P74" s="90"/>
      <c r="Q74" s="81"/>
    </row>
    <row r="75" spans="1:17" ht="18" x14ac:dyDescent="0.25">
      <c r="A75" s="27" t="s">
        <v>36</v>
      </c>
      <c r="B75" s="71">
        <v>520031</v>
      </c>
      <c r="C75" s="33">
        <v>15500</v>
      </c>
      <c r="D75" s="33">
        <v>12428</v>
      </c>
      <c r="E75" s="33"/>
      <c r="F75" s="34">
        <v>20000</v>
      </c>
      <c r="G75" s="33">
        <v>20911</v>
      </c>
      <c r="H75" s="34">
        <v>24000</v>
      </c>
      <c r="I75" s="54"/>
      <c r="J75" s="34">
        <v>24000</v>
      </c>
      <c r="K75" s="34"/>
      <c r="L75" s="34">
        <v>24000</v>
      </c>
      <c r="M75" s="92">
        <v>22278.51</v>
      </c>
      <c r="N75" s="93">
        <v>24000</v>
      </c>
      <c r="O75" s="90">
        <v>22586.52</v>
      </c>
      <c r="P75" s="90">
        <f t="shared" si="2"/>
        <v>33879.78</v>
      </c>
      <c r="Q75" s="77">
        <v>25000</v>
      </c>
    </row>
    <row r="76" spans="1:17" ht="109.15" customHeight="1" x14ac:dyDescent="0.25">
      <c r="A76" s="27" t="s">
        <v>37</v>
      </c>
      <c r="B76" s="71">
        <v>520040</v>
      </c>
      <c r="C76" s="41">
        <v>11200</v>
      </c>
      <c r="D76" s="41">
        <v>13418</v>
      </c>
      <c r="E76" s="41"/>
      <c r="F76" s="42">
        <v>12000</v>
      </c>
      <c r="G76" s="41">
        <v>18229</v>
      </c>
      <c r="H76" s="42">
        <v>14000</v>
      </c>
      <c r="I76" s="54"/>
      <c r="J76" s="42">
        <v>14000</v>
      </c>
      <c r="K76" s="42"/>
      <c r="L76" s="42">
        <v>14000</v>
      </c>
      <c r="M76" s="92">
        <v>2430.41</v>
      </c>
      <c r="N76" s="93">
        <v>12000</v>
      </c>
      <c r="O76" s="90">
        <v>3465.57</v>
      </c>
      <c r="P76" s="90">
        <f t="shared" si="2"/>
        <v>5198.3550000000005</v>
      </c>
      <c r="Q76" s="76">
        <v>10000</v>
      </c>
    </row>
    <row r="77" spans="1:17" ht="18" x14ac:dyDescent="0.25">
      <c r="A77" s="27" t="s">
        <v>38</v>
      </c>
      <c r="B77" s="71">
        <v>520041</v>
      </c>
      <c r="C77" s="41">
        <v>4000</v>
      </c>
      <c r="D77" s="41">
        <v>0</v>
      </c>
      <c r="E77" s="41"/>
      <c r="F77" s="42">
        <v>4000</v>
      </c>
      <c r="G77" s="41">
        <v>0</v>
      </c>
      <c r="H77" s="42">
        <v>4000</v>
      </c>
      <c r="I77" s="54"/>
      <c r="J77" s="42">
        <v>4000</v>
      </c>
      <c r="K77" s="42"/>
      <c r="L77" s="42">
        <v>4000</v>
      </c>
      <c r="M77" s="92">
        <v>53.73</v>
      </c>
      <c r="N77" s="93">
        <v>4000</v>
      </c>
      <c r="O77" s="90">
        <v>4000</v>
      </c>
      <c r="P77" s="90">
        <f t="shared" si="2"/>
        <v>6000</v>
      </c>
      <c r="Q77" s="76">
        <v>4000</v>
      </c>
    </row>
    <row r="78" spans="1:17" ht="18" x14ac:dyDescent="0.25">
      <c r="A78" s="27" t="s">
        <v>39</v>
      </c>
      <c r="B78" s="71">
        <v>520050</v>
      </c>
      <c r="C78" s="41">
        <v>5900</v>
      </c>
      <c r="D78" s="41">
        <v>3861</v>
      </c>
      <c r="E78" s="41"/>
      <c r="F78" s="42">
        <v>5900</v>
      </c>
      <c r="G78" s="41">
        <v>290</v>
      </c>
      <c r="H78" s="42">
        <v>6000</v>
      </c>
      <c r="I78" s="54"/>
      <c r="J78" s="42">
        <v>3000</v>
      </c>
      <c r="K78" s="42"/>
      <c r="L78" s="42">
        <v>4000</v>
      </c>
      <c r="M78" s="92">
        <v>4010.06</v>
      </c>
      <c r="N78" s="93">
        <v>6000</v>
      </c>
      <c r="O78" s="90">
        <v>2328.66</v>
      </c>
      <c r="P78" s="90">
        <f t="shared" si="2"/>
        <v>3492.99</v>
      </c>
      <c r="Q78" s="76">
        <v>5000</v>
      </c>
    </row>
    <row r="79" spans="1:17" ht="18" x14ac:dyDescent="0.25">
      <c r="A79" s="27" t="s">
        <v>115</v>
      </c>
      <c r="B79" s="71">
        <v>520081</v>
      </c>
      <c r="C79" s="41">
        <v>1800</v>
      </c>
      <c r="D79" s="41">
        <v>288</v>
      </c>
      <c r="E79" s="41"/>
      <c r="F79" s="42">
        <v>1800</v>
      </c>
      <c r="G79" s="41">
        <v>252</v>
      </c>
      <c r="H79" s="42">
        <v>500</v>
      </c>
      <c r="I79" s="54"/>
      <c r="J79" s="42">
        <v>500</v>
      </c>
      <c r="K79" s="42"/>
      <c r="L79" s="42">
        <v>500</v>
      </c>
      <c r="M79" s="92">
        <v>89.25</v>
      </c>
      <c r="N79" s="93">
        <v>500</v>
      </c>
      <c r="O79" s="90">
        <v>96</v>
      </c>
      <c r="P79" s="90">
        <f t="shared" si="2"/>
        <v>144</v>
      </c>
      <c r="Q79" s="76">
        <v>500</v>
      </c>
    </row>
    <row r="80" spans="1:17" ht="18" x14ac:dyDescent="0.25">
      <c r="A80" s="27" t="s">
        <v>116</v>
      </c>
      <c r="B80" s="71">
        <v>520082</v>
      </c>
      <c r="C80" s="41">
        <v>0</v>
      </c>
      <c r="D80" s="41">
        <v>944</v>
      </c>
      <c r="E80" s="41"/>
      <c r="F80" s="42"/>
      <c r="G80" s="41">
        <v>2265</v>
      </c>
      <c r="H80" s="42">
        <v>2500</v>
      </c>
      <c r="I80" s="54"/>
      <c r="J80" s="42">
        <v>2500</v>
      </c>
      <c r="K80" s="42"/>
      <c r="L80" s="42">
        <v>2500</v>
      </c>
      <c r="M80" s="92">
        <v>790.86</v>
      </c>
      <c r="N80" s="93">
        <v>2000</v>
      </c>
      <c r="O80" s="90">
        <v>786.64</v>
      </c>
      <c r="P80" s="90">
        <f t="shared" si="2"/>
        <v>1179.96</v>
      </c>
      <c r="Q80" s="76">
        <v>2100</v>
      </c>
    </row>
    <row r="81" spans="1:17" ht="18" x14ac:dyDescent="0.25">
      <c r="A81" s="21" t="s">
        <v>10</v>
      </c>
      <c r="B81" s="70"/>
      <c r="C81" s="38">
        <f>SUM(C75:C80)</f>
        <v>38400</v>
      </c>
      <c r="D81" s="38">
        <f>SUM(D75:D80)</f>
        <v>30939</v>
      </c>
      <c r="E81" s="48" t="e">
        <f>#REF!/#REF!</f>
        <v>#REF!</v>
      </c>
      <c r="F81" s="38">
        <f>SUM(F75:F79)</f>
        <v>43700</v>
      </c>
      <c r="G81" s="38">
        <f>SUM(G75:G80)</f>
        <v>41947</v>
      </c>
      <c r="H81" s="38">
        <f>SUM(H75:H80)</f>
        <v>51000</v>
      </c>
      <c r="I81" s="57">
        <f>H81/H$119</f>
        <v>6.5647457705659967E-2</v>
      </c>
      <c r="J81" s="38">
        <f>SUM(J75:J80)</f>
        <v>48000</v>
      </c>
      <c r="K81" s="57">
        <f>J81/J$119</f>
        <v>6.5210569002971161E-2</v>
      </c>
      <c r="L81" s="38">
        <f>SUM(L75:L80)</f>
        <v>49000</v>
      </c>
      <c r="M81" s="99">
        <f>SUM(M75:M80)</f>
        <v>29652.82</v>
      </c>
      <c r="N81" s="100">
        <f>SUM(N75:N80)</f>
        <v>48500</v>
      </c>
      <c r="O81" s="100">
        <f>SUM(O75:O80)</f>
        <v>33263.39</v>
      </c>
      <c r="P81" s="96">
        <f t="shared" si="2"/>
        <v>49895.084999999999</v>
      </c>
      <c r="Q81" s="78">
        <f>SUM(Q75:Q80)</f>
        <v>46600</v>
      </c>
    </row>
    <row r="82" spans="1:17" ht="18" x14ac:dyDescent="0.25">
      <c r="A82" s="21"/>
      <c r="B82" s="70"/>
      <c r="C82" s="35"/>
      <c r="D82" s="35"/>
      <c r="E82" s="35"/>
      <c r="F82" s="37"/>
      <c r="G82" s="35"/>
      <c r="H82" s="37"/>
      <c r="I82" s="56"/>
      <c r="J82" s="37"/>
      <c r="K82" s="37"/>
      <c r="L82" s="37"/>
      <c r="M82" s="97"/>
      <c r="N82" s="98"/>
      <c r="O82" s="90"/>
      <c r="P82" s="90"/>
      <c r="Q82" s="37"/>
    </row>
    <row r="83" spans="1:17" ht="18" x14ac:dyDescent="0.25">
      <c r="A83" s="21" t="s">
        <v>11</v>
      </c>
      <c r="B83" s="70"/>
      <c r="C83" s="35"/>
      <c r="D83" s="35"/>
      <c r="E83" s="35"/>
      <c r="F83" s="37"/>
      <c r="G83" s="35"/>
      <c r="H83" s="37"/>
      <c r="I83" s="56"/>
      <c r="J83" s="37"/>
      <c r="K83" s="37"/>
      <c r="L83" s="37"/>
      <c r="M83" s="97"/>
      <c r="N83" s="98"/>
      <c r="O83" s="90"/>
      <c r="P83" s="90"/>
      <c r="Q83" s="37"/>
    </row>
    <row r="84" spans="1:17" ht="18" x14ac:dyDescent="0.25">
      <c r="A84" s="27" t="s">
        <v>40</v>
      </c>
      <c r="B84" s="71">
        <v>510020</v>
      </c>
      <c r="C84" s="33">
        <v>6000</v>
      </c>
      <c r="D84" s="33">
        <v>2683</v>
      </c>
      <c r="E84" s="33"/>
      <c r="F84" s="34">
        <v>6000</v>
      </c>
      <c r="G84" s="33">
        <v>3132</v>
      </c>
      <c r="H84" s="34">
        <v>6000</v>
      </c>
      <c r="I84" s="54"/>
      <c r="J84" s="34">
        <v>4500</v>
      </c>
      <c r="K84" s="34"/>
      <c r="L84" s="34">
        <v>4500</v>
      </c>
      <c r="M84" s="92">
        <v>1434.26</v>
      </c>
      <c r="N84" s="93">
        <v>4500</v>
      </c>
      <c r="O84" s="90">
        <v>511.35</v>
      </c>
      <c r="P84" s="90">
        <f t="shared" si="2"/>
        <v>767.02500000000009</v>
      </c>
      <c r="Q84" s="77">
        <v>4500</v>
      </c>
    </row>
    <row r="85" spans="1:17" ht="18" x14ac:dyDescent="0.25">
      <c r="A85" s="27" t="s">
        <v>41</v>
      </c>
      <c r="B85" s="71">
        <v>510100</v>
      </c>
      <c r="C85" s="41">
        <v>5000</v>
      </c>
      <c r="D85" s="41">
        <v>977</v>
      </c>
      <c r="E85" s="41"/>
      <c r="F85" s="42">
        <v>5000</v>
      </c>
      <c r="G85" s="41">
        <v>939</v>
      </c>
      <c r="H85" s="42">
        <v>5000</v>
      </c>
      <c r="I85" s="54"/>
      <c r="J85" s="42">
        <v>4000</v>
      </c>
      <c r="K85" s="42"/>
      <c r="L85" s="42">
        <v>4000</v>
      </c>
      <c r="M85" s="92">
        <v>0</v>
      </c>
      <c r="N85" s="93">
        <v>4000</v>
      </c>
      <c r="O85" s="90">
        <v>0</v>
      </c>
      <c r="P85" s="90">
        <f t="shared" si="2"/>
        <v>0</v>
      </c>
      <c r="Q85" s="76">
        <v>4000</v>
      </c>
    </row>
    <row r="86" spans="1:17" ht="18" x14ac:dyDescent="0.25">
      <c r="A86" s="27" t="s">
        <v>42</v>
      </c>
      <c r="B86" s="71">
        <v>510210</v>
      </c>
      <c r="C86" s="41">
        <v>4300</v>
      </c>
      <c r="D86" s="41">
        <v>1589</v>
      </c>
      <c r="E86" s="41"/>
      <c r="F86" s="42">
        <v>3520</v>
      </c>
      <c r="G86" s="41">
        <v>787</v>
      </c>
      <c r="H86" s="42">
        <v>2000</v>
      </c>
      <c r="I86" s="54"/>
      <c r="J86" s="42">
        <v>1500</v>
      </c>
      <c r="K86" s="42"/>
      <c r="L86" s="42">
        <v>1500</v>
      </c>
      <c r="M86" s="92">
        <v>972</v>
      </c>
      <c r="N86" s="93">
        <v>1500</v>
      </c>
      <c r="O86" s="90">
        <v>634.70000000000005</v>
      </c>
      <c r="P86" s="90">
        <f t="shared" si="2"/>
        <v>952.05000000000007</v>
      </c>
      <c r="Q86" s="76">
        <v>1500</v>
      </c>
    </row>
    <row r="87" spans="1:17" ht="18" x14ac:dyDescent="0.25">
      <c r="A87" s="27" t="s">
        <v>117</v>
      </c>
      <c r="B87" s="71">
        <v>510215</v>
      </c>
      <c r="C87" s="41">
        <v>2000</v>
      </c>
      <c r="D87" s="41">
        <v>549</v>
      </c>
      <c r="E87" s="41"/>
      <c r="F87" s="42">
        <v>2000</v>
      </c>
      <c r="G87" s="41">
        <v>311</v>
      </c>
      <c r="H87" s="42">
        <v>500</v>
      </c>
      <c r="I87" s="54"/>
      <c r="J87" s="42">
        <v>500</v>
      </c>
      <c r="K87" s="42"/>
      <c r="L87" s="42">
        <v>500</v>
      </c>
      <c r="M87" s="92">
        <v>0</v>
      </c>
      <c r="N87" s="93">
        <v>500</v>
      </c>
      <c r="O87" s="90">
        <v>0</v>
      </c>
      <c r="P87" s="90">
        <f t="shared" si="2"/>
        <v>0</v>
      </c>
      <c r="Q87" s="76">
        <v>500</v>
      </c>
    </row>
    <row r="88" spans="1:17" ht="18" x14ac:dyDescent="0.25">
      <c r="A88" s="27" t="s">
        <v>118</v>
      </c>
      <c r="B88" s="71">
        <v>510230</v>
      </c>
      <c r="C88" s="41">
        <v>2000</v>
      </c>
      <c r="D88" s="41">
        <v>1373</v>
      </c>
      <c r="E88" s="41"/>
      <c r="F88" s="42">
        <v>2000</v>
      </c>
      <c r="G88" s="41">
        <v>1569</v>
      </c>
      <c r="H88" s="42">
        <v>1000</v>
      </c>
      <c r="I88" s="54"/>
      <c r="J88" s="42">
        <v>2000</v>
      </c>
      <c r="K88" s="42"/>
      <c r="L88" s="42">
        <v>2000</v>
      </c>
      <c r="M88" s="92">
        <v>1172.57</v>
      </c>
      <c r="N88" s="93">
        <v>2000</v>
      </c>
      <c r="O88" s="90">
        <v>1130.55</v>
      </c>
      <c r="P88" s="90">
        <f t="shared" si="2"/>
        <v>1695.8249999999998</v>
      </c>
      <c r="Q88" s="76">
        <v>2000</v>
      </c>
    </row>
    <row r="89" spans="1:17" ht="18" x14ac:dyDescent="0.25">
      <c r="A89" s="27" t="s">
        <v>43</v>
      </c>
      <c r="B89" s="71">
        <v>810250</v>
      </c>
      <c r="C89" s="41">
        <v>900</v>
      </c>
      <c r="D89" s="41">
        <v>550</v>
      </c>
      <c r="E89" s="41"/>
      <c r="F89" s="42">
        <v>1000</v>
      </c>
      <c r="G89" s="41">
        <v>320</v>
      </c>
      <c r="H89" s="42">
        <v>1000</v>
      </c>
      <c r="I89" s="54"/>
      <c r="J89" s="42">
        <v>750</v>
      </c>
      <c r="K89" s="42"/>
      <c r="L89" s="42">
        <v>250</v>
      </c>
      <c r="M89" s="92">
        <v>226.34</v>
      </c>
      <c r="N89" s="93">
        <v>2000</v>
      </c>
      <c r="O89" s="90">
        <v>610.99</v>
      </c>
      <c r="P89" s="90">
        <f t="shared" si="2"/>
        <v>916.48500000000001</v>
      </c>
      <c r="Q89" s="76">
        <v>1500</v>
      </c>
    </row>
    <row r="90" spans="1:17" ht="18" x14ac:dyDescent="0.25">
      <c r="A90" s="21" t="s">
        <v>119</v>
      </c>
      <c r="B90" s="70"/>
      <c r="C90" s="38">
        <f t="shared" ref="C90:H90" si="3">SUM(C84:C89)</f>
        <v>20200</v>
      </c>
      <c r="D90" s="38">
        <f t="shared" si="3"/>
        <v>7721</v>
      </c>
      <c r="E90" s="48" t="e">
        <f>#REF!/#REF!</f>
        <v>#REF!</v>
      </c>
      <c r="F90" s="38">
        <f t="shared" si="3"/>
        <v>19520</v>
      </c>
      <c r="G90" s="38">
        <f t="shared" si="3"/>
        <v>7058</v>
      </c>
      <c r="H90" s="38">
        <f t="shared" si="3"/>
        <v>15500</v>
      </c>
      <c r="I90" s="57">
        <f>H90/H$119</f>
        <v>1.9951678322308423E-2</v>
      </c>
      <c r="J90" s="38">
        <f t="shared" ref="J90" si="4">SUM(J84:J89)</f>
        <v>13250</v>
      </c>
      <c r="K90" s="57">
        <f>J90/J$119</f>
        <v>1.8000834151861829E-2</v>
      </c>
      <c r="L90" s="38">
        <f t="shared" ref="L90:M90" si="5">SUM(L84:L89)</f>
        <v>12750</v>
      </c>
      <c r="M90" s="99">
        <f t="shared" si="5"/>
        <v>3805.17</v>
      </c>
      <c r="N90" s="100">
        <f t="shared" ref="N90:O90" si="6">SUM(N84:N89)</f>
        <v>14500</v>
      </c>
      <c r="O90" s="100">
        <f t="shared" si="6"/>
        <v>2887.59</v>
      </c>
      <c r="P90" s="96">
        <f t="shared" si="2"/>
        <v>4331.3850000000002</v>
      </c>
      <c r="Q90" s="78">
        <f t="shared" ref="Q90" si="7">SUM(Q84:Q89)</f>
        <v>14000</v>
      </c>
    </row>
    <row r="91" spans="1:17" ht="18" x14ac:dyDescent="0.25">
      <c r="A91" s="21"/>
      <c r="B91" s="70"/>
      <c r="C91" s="35"/>
      <c r="D91" s="35"/>
      <c r="E91" s="35"/>
      <c r="F91" s="37"/>
      <c r="G91" s="35"/>
      <c r="H91" s="37"/>
      <c r="I91" s="56"/>
      <c r="J91" s="37"/>
      <c r="K91" s="37"/>
      <c r="L91" s="37"/>
      <c r="M91" s="97"/>
      <c r="N91" s="98"/>
      <c r="O91" s="90"/>
      <c r="P91" s="90"/>
      <c r="Q91" s="37"/>
    </row>
    <row r="92" spans="1:17" ht="18.2" customHeight="1" x14ac:dyDescent="0.25">
      <c r="A92" s="21" t="s">
        <v>12</v>
      </c>
      <c r="B92" s="70"/>
      <c r="C92" s="35"/>
      <c r="D92" s="35"/>
      <c r="E92" s="35"/>
      <c r="F92" s="37"/>
      <c r="G92" s="35"/>
      <c r="H92" s="37"/>
      <c r="I92" s="56"/>
      <c r="J92" s="37"/>
      <c r="K92" s="37"/>
      <c r="L92" s="37"/>
      <c r="M92" s="97"/>
      <c r="N92" s="98"/>
      <c r="O92" s="90"/>
      <c r="P92" s="90"/>
      <c r="Q92" s="37"/>
    </row>
    <row r="93" spans="1:17" ht="18.2" customHeight="1" x14ac:dyDescent="0.25">
      <c r="A93" s="27" t="s">
        <v>120</v>
      </c>
      <c r="B93" s="71">
        <v>540011</v>
      </c>
      <c r="C93" s="33">
        <v>325</v>
      </c>
      <c r="D93" s="33">
        <v>351</v>
      </c>
      <c r="E93" s="33"/>
      <c r="F93" s="34">
        <v>500</v>
      </c>
      <c r="G93" s="33">
        <v>332</v>
      </c>
      <c r="H93" s="34">
        <v>500</v>
      </c>
      <c r="I93" s="54"/>
      <c r="J93" s="34">
        <v>500</v>
      </c>
      <c r="K93" s="34"/>
      <c r="L93" s="34">
        <v>500</v>
      </c>
      <c r="M93" s="92">
        <v>0</v>
      </c>
      <c r="N93" s="93">
        <v>500</v>
      </c>
      <c r="O93" s="90">
        <v>183.51</v>
      </c>
      <c r="P93" s="90">
        <f t="shared" si="2"/>
        <v>275.26499999999999</v>
      </c>
      <c r="Q93" s="77">
        <v>500</v>
      </c>
    </row>
    <row r="94" spans="1:17" ht="31.15" customHeight="1" x14ac:dyDescent="0.25">
      <c r="A94" s="27" t="s">
        <v>64</v>
      </c>
      <c r="B94" s="71">
        <v>540020</v>
      </c>
      <c r="C94" s="41">
        <v>9000</v>
      </c>
      <c r="D94" s="41">
        <v>1594</v>
      </c>
      <c r="E94" s="41"/>
      <c r="F94" s="42">
        <v>9000</v>
      </c>
      <c r="G94" s="41">
        <v>1307</v>
      </c>
      <c r="H94" s="42">
        <v>6400</v>
      </c>
      <c r="I94" s="54"/>
      <c r="J94" s="42">
        <v>6400</v>
      </c>
      <c r="K94" s="42"/>
      <c r="L94" s="42">
        <v>9000</v>
      </c>
      <c r="M94" s="92">
        <v>1386.74</v>
      </c>
      <c r="N94" s="93">
        <v>9000</v>
      </c>
      <c r="O94" s="90">
        <v>3518.87</v>
      </c>
      <c r="P94" s="90">
        <f t="shared" si="2"/>
        <v>5278.3050000000003</v>
      </c>
      <c r="Q94" s="76">
        <v>9000</v>
      </c>
    </row>
    <row r="95" spans="1:17" ht="18.2" customHeight="1" x14ac:dyDescent="0.25">
      <c r="A95" s="27" t="s">
        <v>65</v>
      </c>
      <c r="B95" s="71">
        <v>540022</v>
      </c>
      <c r="C95" s="41">
        <v>3200</v>
      </c>
      <c r="D95" s="41">
        <v>684</v>
      </c>
      <c r="E95" s="41"/>
      <c r="F95" s="42">
        <v>3200</v>
      </c>
      <c r="G95" s="41">
        <v>241</v>
      </c>
      <c r="H95" s="42">
        <v>1500</v>
      </c>
      <c r="I95" s="54"/>
      <c r="J95" s="42">
        <v>1500</v>
      </c>
      <c r="K95" s="42"/>
      <c r="L95" s="42">
        <v>1500</v>
      </c>
      <c r="M95" s="92">
        <v>364.84</v>
      </c>
      <c r="N95" s="93">
        <v>1500</v>
      </c>
      <c r="O95" s="90">
        <v>122.99</v>
      </c>
      <c r="P95" s="90">
        <f t="shared" si="2"/>
        <v>184.48499999999999</v>
      </c>
      <c r="Q95" s="76">
        <v>0</v>
      </c>
    </row>
    <row r="96" spans="1:17" ht="18.2" customHeight="1" x14ac:dyDescent="0.25">
      <c r="A96" s="27" t="s">
        <v>44</v>
      </c>
      <c r="B96" s="71">
        <v>540136</v>
      </c>
      <c r="C96" s="41">
        <v>0</v>
      </c>
      <c r="D96" s="41">
        <v>0</v>
      </c>
      <c r="E96" s="41"/>
      <c r="F96" s="42">
        <v>0</v>
      </c>
      <c r="G96" s="41">
        <v>0</v>
      </c>
      <c r="H96" s="42">
        <v>0</v>
      </c>
      <c r="I96" s="54"/>
      <c r="J96" s="42">
        <v>0</v>
      </c>
      <c r="K96" s="42"/>
      <c r="L96" s="42"/>
      <c r="M96" s="92"/>
      <c r="N96" s="93"/>
      <c r="O96" s="90"/>
      <c r="P96" s="90">
        <f t="shared" si="2"/>
        <v>0</v>
      </c>
      <c r="Q96" s="76">
        <v>0</v>
      </c>
    </row>
    <row r="97" spans="1:17" ht="18.2" customHeight="1" x14ac:dyDescent="0.25">
      <c r="A97" s="27" t="s">
        <v>45</v>
      </c>
      <c r="B97" s="71">
        <v>540170</v>
      </c>
      <c r="C97" s="41">
        <v>500</v>
      </c>
      <c r="D97" s="41">
        <v>352</v>
      </c>
      <c r="E97" s="41"/>
      <c r="F97" s="42">
        <v>500</v>
      </c>
      <c r="G97" s="41">
        <v>403</v>
      </c>
      <c r="H97" s="42">
        <v>500</v>
      </c>
      <c r="I97" s="54"/>
      <c r="J97" s="42">
        <v>500</v>
      </c>
      <c r="K97" s="42"/>
      <c r="L97" s="42">
        <v>500</v>
      </c>
      <c r="M97" s="92">
        <v>40.659999999999997</v>
      </c>
      <c r="N97" s="93">
        <v>0</v>
      </c>
      <c r="O97" s="90">
        <v>0</v>
      </c>
      <c r="P97" s="90">
        <f t="shared" si="2"/>
        <v>0</v>
      </c>
      <c r="Q97" s="76">
        <v>0</v>
      </c>
    </row>
    <row r="98" spans="1:17" ht="18.2" customHeight="1" x14ac:dyDescent="0.25">
      <c r="A98" s="27" t="s">
        <v>46</v>
      </c>
      <c r="B98" s="71">
        <v>540205</v>
      </c>
      <c r="C98" s="41">
        <v>0</v>
      </c>
      <c r="D98" s="41">
        <v>0</v>
      </c>
      <c r="E98" s="41"/>
      <c r="F98" s="42">
        <v>0</v>
      </c>
      <c r="G98" s="41"/>
      <c r="H98" s="42">
        <v>0</v>
      </c>
      <c r="I98" s="54"/>
      <c r="J98" s="42">
        <v>0</v>
      </c>
      <c r="K98" s="42"/>
      <c r="L98" s="42"/>
      <c r="M98" s="92"/>
      <c r="N98" s="93">
        <v>0</v>
      </c>
      <c r="O98" s="90"/>
      <c r="P98" s="90">
        <f t="shared" si="2"/>
        <v>0</v>
      </c>
      <c r="Q98" s="76">
        <v>0</v>
      </c>
    </row>
    <row r="99" spans="1:17" ht="36" customHeight="1" x14ac:dyDescent="0.25">
      <c r="A99" s="27" t="s">
        <v>47</v>
      </c>
      <c r="B99" s="71">
        <v>540210</v>
      </c>
      <c r="C99" s="41">
        <v>7000</v>
      </c>
      <c r="D99" s="41">
        <v>3670</v>
      </c>
      <c r="E99" s="41"/>
      <c r="F99" s="42">
        <v>7000</v>
      </c>
      <c r="G99" s="41">
        <v>1017</v>
      </c>
      <c r="H99" s="42">
        <v>6000</v>
      </c>
      <c r="I99" s="54"/>
      <c r="J99" s="42">
        <v>3000</v>
      </c>
      <c r="K99" s="42"/>
      <c r="L99" s="42">
        <v>5000</v>
      </c>
      <c r="M99" s="92">
        <v>2444.6999999999998</v>
      </c>
      <c r="N99" s="93">
        <v>5000</v>
      </c>
      <c r="O99" s="90">
        <v>2600.9699999999998</v>
      </c>
      <c r="P99" s="90">
        <f t="shared" si="2"/>
        <v>3901.4549999999999</v>
      </c>
      <c r="Q99" s="76">
        <v>5000</v>
      </c>
    </row>
    <row r="100" spans="1:17" ht="18.2" customHeight="1" x14ac:dyDescent="0.25">
      <c r="A100" s="27" t="s">
        <v>48</v>
      </c>
      <c r="B100" s="71">
        <v>540220</v>
      </c>
      <c r="C100" s="41">
        <v>350</v>
      </c>
      <c r="D100" s="41">
        <v>403</v>
      </c>
      <c r="E100" s="41"/>
      <c r="F100" s="42">
        <v>300</v>
      </c>
      <c r="G100" s="41">
        <v>-20</v>
      </c>
      <c r="H100" s="42">
        <v>100</v>
      </c>
      <c r="I100" s="54"/>
      <c r="J100" s="42">
        <v>100</v>
      </c>
      <c r="K100" s="42"/>
      <c r="L100" s="42">
        <v>100</v>
      </c>
      <c r="M100" s="92">
        <v>0</v>
      </c>
      <c r="N100" s="93">
        <v>100</v>
      </c>
      <c r="O100" s="90">
        <v>0</v>
      </c>
      <c r="P100" s="90">
        <f t="shared" si="2"/>
        <v>0</v>
      </c>
      <c r="Q100" s="76">
        <v>0</v>
      </c>
    </row>
    <row r="101" spans="1:17" ht="18.2" customHeight="1" x14ac:dyDescent="0.25">
      <c r="A101" s="27" t="s">
        <v>49</v>
      </c>
      <c r="B101" s="71">
        <v>540021</v>
      </c>
      <c r="C101" s="41">
        <v>14000</v>
      </c>
      <c r="D101" s="41">
        <v>7100</v>
      </c>
      <c r="E101" s="41"/>
      <c r="F101" s="42">
        <v>19000</v>
      </c>
      <c r="G101" s="41">
        <v>14950</v>
      </c>
      <c r="H101" s="42">
        <v>19000</v>
      </c>
      <c r="I101" s="54"/>
      <c r="J101" s="42">
        <v>19000</v>
      </c>
      <c r="K101" s="42"/>
      <c r="L101" s="42">
        <v>19000</v>
      </c>
      <c r="M101" s="92">
        <v>8800</v>
      </c>
      <c r="N101" s="93">
        <v>32000</v>
      </c>
      <c r="O101" s="90">
        <v>16125.3</v>
      </c>
      <c r="P101" s="90">
        <f t="shared" si="2"/>
        <v>24187.949999999997</v>
      </c>
      <c r="Q101" s="76">
        <v>32000</v>
      </c>
    </row>
    <row r="102" spans="1:17" ht="18" x14ac:dyDescent="0.25">
      <c r="A102" s="21" t="s">
        <v>121</v>
      </c>
      <c r="B102" s="70"/>
      <c r="C102" s="38">
        <f t="shared" ref="C102:H102" si="8">SUM(C93:C101)</f>
        <v>34375</v>
      </c>
      <c r="D102" s="38">
        <f t="shared" si="8"/>
        <v>14154</v>
      </c>
      <c r="E102" s="48" t="e">
        <f>#REF!/#REF!</f>
        <v>#REF!</v>
      </c>
      <c r="F102" s="38">
        <f t="shared" si="8"/>
        <v>39500</v>
      </c>
      <c r="G102" s="38">
        <f t="shared" si="8"/>
        <v>18230</v>
      </c>
      <c r="H102" s="38">
        <f t="shared" si="8"/>
        <v>34000</v>
      </c>
      <c r="I102" s="57">
        <f>H102/H$119</f>
        <v>4.3764971803773312E-2</v>
      </c>
      <c r="J102" s="38">
        <f t="shared" ref="J102" si="9">SUM(J93:J101)</f>
        <v>31000</v>
      </c>
      <c r="K102" s="57">
        <f>J102/J$119</f>
        <v>4.2115159147752206E-2</v>
      </c>
      <c r="L102" s="38">
        <f t="shared" ref="L102:M102" si="10">SUM(L93:L101)</f>
        <v>35600</v>
      </c>
      <c r="M102" s="99">
        <f t="shared" si="10"/>
        <v>13036.939999999999</v>
      </c>
      <c r="N102" s="100">
        <f t="shared" ref="N102:O102" si="11">SUM(N93:N101)</f>
        <v>48100</v>
      </c>
      <c r="O102" s="100">
        <f t="shared" si="11"/>
        <v>22551.64</v>
      </c>
      <c r="P102" s="96">
        <f t="shared" si="2"/>
        <v>33827.46</v>
      </c>
      <c r="Q102" s="78">
        <f t="shared" ref="Q102" si="12">SUM(Q93:Q101)</f>
        <v>46500</v>
      </c>
    </row>
    <row r="103" spans="1:17" ht="18" x14ac:dyDescent="0.25">
      <c r="A103" s="21"/>
      <c r="B103" s="70"/>
      <c r="C103" s="35"/>
      <c r="D103" s="35"/>
      <c r="E103" s="35"/>
      <c r="F103" s="37"/>
      <c r="G103" s="35"/>
      <c r="H103" s="37"/>
      <c r="I103" s="56"/>
      <c r="J103" s="37"/>
      <c r="K103" s="37"/>
      <c r="L103" s="37"/>
      <c r="M103" s="97"/>
      <c r="N103" s="98"/>
      <c r="O103" s="90"/>
      <c r="P103" s="90"/>
      <c r="Q103" s="81"/>
    </row>
    <row r="104" spans="1:17" ht="18" x14ac:dyDescent="0.25">
      <c r="A104" s="21" t="s">
        <v>13</v>
      </c>
      <c r="B104" s="70"/>
      <c r="C104" s="35"/>
      <c r="D104" s="35"/>
      <c r="E104" s="35"/>
      <c r="F104" s="37"/>
      <c r="G104" s="35"/>
      <c r="H104" s="37"/>
      <c r="I104" s="56"/>
      <c r="J104" s="37"/>
      <c r="K104" s="37"/>
      <c r="L104" s="37"/>
      <c r="M104" s="97"/>
      <c r="N104" s="98"/>
      <c r="O104" s="90"/>
      <c r="P104" s="90"/>
      <c r="Q104" s="81"/>
    </row>
    <row r="105" spans="1:17" ht="18.2" customHeight="1" x14ac:dyDescent="0.25">
      <c r="A105" s="27" t="s">
        <v>50</v>
      </c>
      <c r="B105" s="71">
        <v>530000</v>
      </c>
      <c r="C105" s="33">
        <v>2500</v>
      </c>
      <c r="D105" s="33">
        <v>1276</v>
      </c>
      <c r="E105" s="33"/>
      <c r="F105" s="34">
        <v>2500</v>
      </c>
      <c r="G105" s="33">
        <v>2309</v>
      </c>
      <c r="H105" s="34">
        <v>2500</v>
      </c>
      <c r="I105" s="54"/>
      <c r="J105" s="34">
        <v>2500</v>
      </c>
      <c r="K105" s="34"/>
      <c r="L105" s="34">
        <v>3000</v>
      </c>
      <c r="M105" s="92">
        <v>204.12</v>
      </c>
      <c r="N105" s="93">
        <v>1500</v>
      </c>
      <c r="O105" s="90">
        <v>492.18</v>
      </c>
      <c r="P105" s="90">
        <f t="shared" si="2"/>
        <v>738.27</v>
      </c>
      <c r="Q105" s="77">
        <v>1500</v>
      </c>
    </row>
    <row r="106" spans="1:17" ht="18.2" customHeight="1" x14ac:dyDescent="0.25">
      <c r="A106" s="27" t="s">
        <v>51</v>
      </c>
      <c r="B106" s="71">
        <v>530010</v>
      </c>
      <c r="C106" s="41">
        <v>800</v>
      </c>
      <c r="D106" s="41">
        <v>0</v>
      </c>
      <c r="E106" s="41"/>
      <c r="F106" s="42">
        <v>800</v>
      </c>
      <c r="G106" s="41">
        <v>0</v>
      </c>
      <c r="H106" s="42">
        <v>100</v>
      </c>
      <c r="I106" s="54"/>
      <c r="J106" s="42">
        <v>100</v>
      </c>
      <c r="K106" s="42"/>
      <c r="L106" s="42">
        <v>600</v>
      </c>
      <c r="M106" s="92">
        <v>0</v>
      </c>
      <c r="N106" s="93">
        <v>500</v>
      </c>
      <c r="O106" s="90"/>
      <c r="P106" s="90">
        <f t="shared" si="2"/>
        <v>0</v>
      </c>
      <c r="Q106" s="76">
        <v>0</v>
      </c>
    </row>
    <row r="107" spans="1:17" ht="18.2" customHeight="1" x14ac:dyDescent="0.25">
      <c r="A107" s="27" t="s">
        <v>52</v>
      </c>
      <c r="B107" s="71">
        <v>530020</v>
      </c>
      <c r="C107" s="41">
        <v>6000</v>
      </c>
      <c r="D107" s="41">
        <v>3613</v>
      </c>
      <c r="E107" s="41"/>
      <c r="F107" s="42">
        <v>6000</v>
      </c>
      <c r="G107" s="41">
        <v>465</v>
      </c>
      <c r="H107" s="42">
        <v>5000</v>
      </c>
      <c r="I107" s="54"/>
      <c r="J107" s="42">
        <v>4000</v>
      </c>
      <c r="K107" s="42"/>
      <c r="L107" s="42">
        <v>4000</v>
      </c>
      <c r="M107" s="92">
        <v>822.24</v>
      </c>
      <c r="N107" s="93">
        <v>4000</v>
      </c>
      <c r="O107" s="90">
        <v>1196.5899999999999</v>
      </c>
      <c r="P107" s="90">
        <f t="shared" si="2"/>
        <v>1794.8849999999998</v>
      </c>
      <c r="Q107" s="76">
        <v>4000</v>
      </c>
    </row>
    <row r="108" spans="1:17" ht="18" x14ac:dyDescent="0.25">
      <c r="A108" s="21" t="s">
        <v>14</v>
      </c>
      <c r="B108" s="70"/>
      <c r="C108" s="38">
        <f t="shared" ref="C108:H108" si="13">SUM(C105:C107)</f>
        <v>9300</v>
      </c>
      <c r="D108" s="38">
        <f t="shared" si="13"/>
        <v>4889</v>
      </c>
      <c r="E108" s="48" t="e">
        <f>#REF!/#REF!</f>
        <v>#REF!</v>
      </c>
      <c r="F108" s="38">
        <f t="shared" si="13"/>
        <v>9300</v>
      </c>
      <c r="G108" s="38">
        <f t="shared" si="13"/>
        <v>2774</v>
      </c>
      <c r="H108" s="38">
        <f t="shared" si="13"/>
        <v>7600</v>
      </c>
      <c r="I108" s="57">
        <f>H108/H$119</f>
        <v>9.7827584031963868E-3</v>
      </c>
      <c r="J108" s="38">
        <f t="shared" ref="J108" si="14">SUM(J105:J107)</f>
        <v>6600</v>
      </c>
      <c r="K108" s="57">
        <f>J108/J$119</f>
        <v>8.9664532379085341E-3</v>
      </c>
      <c r="L108" s="38">
        <f t="shared" ref="L108:M108" si="15">SUM(L105:L107)</f>
        <v>7600</v>
      </c>
      <c r="M108" s="99">
        <f t="shared" si="15"/>
        <v>1026.3600000000001</v>
      </c>
      <c r="N108" s="100">
        <f t="shared" ref="N108:O108" si="16">SUM(N105:N107)</f>
        <v>6000</v>
      </c>
      <c r="O108" s="100">
        <f t="shared" si="16"/>
        <v>1688.77</v>
      </c>
      <c r="P108" s="96">
        <f t="shared" si="2"/>
        <v>2533.1549999999997</v>
      </c>
      <c r="Q108" s="78">
        <f t="shared" ref="Q108" si="17">SUM(Q105:Q107)</f>
        <v>5500</v>
      </c>
    </row>
    <row r="109" spans="1:17" ht="18" x14ac:dyDescent="0.25">
      <c r="A109" s="21"/>
      <c r="B109" s="70"/>
      <c r="C109" s="35"/>
      <c r="D109" s="35"/>
      <c r="E109" s="35"/>
      <c r="F109" s="37"/>
      <c r="G109" s="35"/>
      <c r="H109" s="37"/>
      <c r="I109" s="56"/>
      <c r="J109" s="37"/>
      <c r="K109" s="37"/>
      <c r="L109" s="37"/>
      <c r="M109" s="97"/>
      <c r="N109" s="98"/>
      <c r="O109" s="90"/>
      <c r="P109" s="90">
        <f t="shared" si="2"/>
        <v>0</v>
      </c>
      <c r="Q109" s="81"/>
    </row>
    <row r="110" spans="1:17" ht="18" x14ac:dyDescent="0.25">
      <c r="A110" s="21" t="s">
        <v>15</v>
      </c>
      <c r="B110" s="73"/>
      <c r="C110" s="38">
        <f>SUM(C63,C72,C81,C90,C102,C108)</f>
        <v>747409</v>
      </c>
      <c r="D110" s="38">
        <f>SUM(D63,D72,D81,D90,D102,D108)</f>
        <v>475917</v>
      </c>
      <c r="E110" s="48"/>
      <c r="F110" s="38">
        <f>SUM(F63,F72,F81,F90,F102,F108)</f>
        <v>755153</v>
      </c>
      <c r="G110" s="38">
        <f>SUM(G63,G72,G81,G90,G102,G108)</f>
        <v>632015</v>
      </c>
      <c r="H110" s="38">
        <f>SUM(H63,H72,H81,H90,H102,H108)</f>
        <v>691587</v>
      </c>
      <c r="I110" s="57">
        <f>H110/H$119</f>
        <v>0.89021428102518163</v>
      </c>
      <c r="J110" s="38">
        <f>SUM(J63,J72,J81,J90,J102,J108)</f>
        <v>661237</v>
      </c>
      <c r="K110" s="57">
        <f>J110/J$119</f>
        <v>0.89832585449620084</v>
      </c>
      <c r="L110" s="38">
        <f>SUM(L63,L72,L81,L90,L102,L108)</f>
        <v>707155</v>
      </c>
      <c r="M110" s="99">
        <f>SUM(M63,M72,M81,M90,M102,M108)</f>
        <v>400802.85</v>
      </c>
      <c r="N110" s="100">
        <f>SUM(N63,N72,N81,N90,N102,N108)</f>
        <v>761713</v>
      </c>
      <c r="O110" s="100">
        <f>SUM(O63,O72,O81,O90,O102,O108)</f>
        <v>504664.34</v>
      </c>
      <c r="P110" s="96">
        <f t="shared" si="2"/>
        <v>756996.51</v>
      </c>
      <c r="Q110" s="78">
        <f>SUM(Q63,Q72,Q81,Q90,Q102,Q108)</f>
        <v>807463</v>
      </c>
    </row>
    <row r="111" spans="1:17" ht="18" x14ac:dyDescent="0.25">
      <c r="A111" s="28"/>
      <c r="B111" s="70"/>
      <c r="C111" s="35"/>
      <c r="D111" s="35"/>
      <c r="E111" s="35"/>
      <c r="F111" s="37"/>
      <c r="G111" s="35"/>
      <c r="H111" s="37"/>
      <c r="I111" s="56"/>
      <c r="J111" s="37"/>
      <c r="K111" s="37"/>
      <c r="L111" s="37"/>
      <c r="M111" s="97"/>
      <c r="N111" s="98"/>
      <c r="O111" s="90"/>
      <c r="P111" s="90">
        <f t="shared" si="2"/>
        <v>0</v>
      </c>
      <c r="Q111" s="37"/>
    </row>
    <row r="112" spans="1:17" ht="18" x14ac:dyDescent="0.25">
      <c r="A112" s="21" t="s">
        <v>67</v>
      </c>
      <c r="B112" s="70"/>
      <c r="C112" s="35"/>
      <c r="D112" s="35"/>
      <c r="E112" s="35"/>
      <c r="F112" s="37"/>
      <c r="G112" s="35"/>
      <c r="H112" s="37"/>
      <c r="I112" s="56"/>
      <c r="J112" s="37"/>
      <c r="K112" s="37"/>
      <c r="L112" s="37"/>
      <c r="M112" s="97"/>
      <c r="N112" s="98"/>
      <c r="O112" s="90"/>
      <c r="P112" s="90">
        <f t="shared" si="2"/>
        <v>0</v>
      </c>
      <c r="Q112" s="37"/>
    </row>
    <row r="113" spans="1:17" ht="18" x14ac:dyDescent="0.25">
      <c r="A113" s="27" t="s">
        <v>122</v>
      </c>
      <c r="B113" s="71" t="s">
        <v>17</v>
      </c>
      <c r="C113" s="34">
        <f>+C115*0.3682</f>
        <v>26615.751225000004</v>
      </c>
      <c r="D113" s="34">
        <v>13351</v>
      </c>
      <c r="E113" s="34"/>
      <c r="F113" s="34">
        <f>+F115*0.3682</f>
        <v>29036.482125000002</v>
      </c>
      <c r="G113" s="34">
        <v>20914</v>
      </c>
      <c r="H113" s="34">
        <f>+H115*0.3682</f>
        <v>28604.537500000002</v>
      </c>
      <c r="I113" s="54"/>
      <c r="J113" s="34">
        <f>+J115*0.3682</f>
        <v>25576.092500000002</v>
      </c>
      <c r="K113" s="34"/>
      <c r="L113" s="34"/>
      <c r="M113" s="92">
        <v>13175</v>
      </c>
      <c r="N113" s="93"/>
      <c r="O113" s="90">
        <v>15230.73</v>
      </c>
      <c r="P113" s="90">
        <f t="shared" si="2"/>
        <v>22846.095000000001</v>
      </c>
      <c r="Q113" s="34"/>
    </row>
    <row r="114" spans="1:17" ht="18" x14ac:dyDescent="0.25">
      <c r="A114" s="27" t="s">
        <v>123</v>
      </c>
      <c r="B114" s="71" t="s">
        <v>19</v>
      </c>
      <c r="C114" s="42">
        <f>+C115*0.6318</f>
        <v>45670.373775</v>
      </c>
      <c r="D114" s="42">
        <v>20662</v>
      </c>
      <c r="E114" s="42"/>
      <c r="F114" s="42">
        <f>+F115*0.6318</f>
        <v>49824.142875000005</v>
      </c>
      <c r="G114" s="42">
        <v>29558</v>
      </c>
      <c r="H114" s="42">
        <f>+H115*0.6318</f>
        <v>49082.962500000001</v>
      </c>
      <c r="I114" s="54"/>
      <c r="J114" s="42">
        <f>+J115*0.6318</f>
        <v>43886.407500000001</v>
      </c>
      <c r="K114" s="42"/>
      <c r="L114" s="42"/>
      <c r="M114" s="92">
        <v>16267.19</v>
      </c>
      <c r="N114" s="93"/>
      <c r="O114" s="90">
        <v>16800</v>
      </c>
      <c r="P114" s="90">
        <f t="shared" si="2"/>
        <v>25200</v>
      </c>
      <c r="Q114" s="42"/>
    </row>
    <row r="115" spans="1:17" ht="18" x14ac:dyDescent="0.25">
      <c r="A115" s="21" t="s">
        <v>20</v>
      </c>
      <c r="B115" s="70"/>
      <c r="C115" s="38">
        <f>0.125*C12</f>
        <v>72286.125</v>
      </c>
      <c r="D115" s="38">
        <f>D113+D114</f>
        <v>34013</v>
      </c>
      <c r="E115" s="48" t="e">
        <f>#REF!/#REF!</f>
        <v>#REF!</v>
      </c>
      <c r="F115" s="38">
        <f>+F12*0.125</f>
        <v>78860.625</v>
      </c>
      <c r="G115" s="38">
        <f>+(G12+G20)*0.125</f>
        <v>67186.125</v>
      </c>
      <c r="H115" s="38">
        <f>+(H12+H20)*0.125</f>
        <v>77687.5</v>
      </c>
      <c r="I115" s="57">
        <f>H115/H$119</f>
        <v>9.9999742558989385E-2</v>
      </c>
      <c r="J115" s="38">
        <f>+J12*0.125</f>
        <v>69462.5</v>
      </c>
      <c r="K115" s="57">
        <f>J115/J$119</f>
        <v>9.4368523945185079E-2</v>
      </c>
      <c r="L115" s="38">
        <v>68188</v>
      </c>
      <c r="M115" s="99">
        <f>M113+M114</f>
        <v>29442.190000000002</v>
      </c>
      <c r="N115" s="100">
        <f>+N12*0.125</f>
        <v>69437.5</v>
      </c>
      <c r="O115" s="100">
        <f>+O113+O114</f>
        <v>32030.73</v>
      </c>
      <c r="P115" s="96">
        <f t="shared" si="2"/>
        <v>48046.095000000001</v>
      </c>
      <c r="Q115" s="78">
        <f>+(Q12+Q20)*0.125</f>
        <v>73000</v>
      </c>
    </row>
    <row r="116" spans="1:17" ht="18" x14ac:dyDescent="0.25">
      <c r="A116" s="21"/>
      <c r="B116" s="70"/>
      <c r="C116" s="33"/>
      <c r="D116" s="33"/>
      <c r="E116" s="33"/>
      <c r="F116" s="33"/>
      <c r="G116" s="33"/>
      <c r="H116" s="33"/>
      <c r="I116" s="58"/>
      <c r="J116" s="33"/>
      <c r="K116" s="33"/>
      <c r="L116" s="33"/>
      <c r="M116" s="101"/>
      <c r="N116" s="102"/>
      <c r="O116" s="90"/>
      <c r="P116" s="90"/>
      <c r="Q116" s="79"/>
    </row>
    <row r="117" spans="1:17" ht="18" x14ac:dyDescent="0.25">
      <c r="A117" s="21" t="s">
        <v>72</v>
      </c>
      <c r="B117" s="70"/>
      <c r="C117" s="33">
        <v>0</v>
      </c>
      <c r="D117" s="33">
        <v>0</v>
      </c>
      <c r="E117" s="33"/>
      <c r="F117" s="33">
        <v>9242.375</v>
      </c>
      <c r="G117" s="33">
        <v>0</v>
      </c>
      <c r="H117" s="33">
        <v>7602.5</v>
      </c>
      <c r="I117" s="57">
        <f>H117/H$119</f>
        <v>9.7859764158290188E-3</v>
      </c>
      <c r="J117" s="33">
        <v>5377.5</v>
      </c>
      <c r="K117" s="57">
        <f>J117/J$119</f>
        <v>7.3056215586141124E-3</v>
      </c>
      <c r="L117" s="33">
        <v>5377.5</v>
      </c>
      <c r="M117" s="101">
        <v>0</v>
      </c>
      <c r="N117" s="102">
        <v>5000</v>
      </c>
      <c r="O117" s="90"/>
      <c r="P117" s="90">
        <f t="shared" si="2"/>
        <v>0</v>
      </c>
      <c r="Q117" s="79">
        <v>0</v>
      </c>
    </row>
    <row r="118" spans="1:17" ht="18" x14ac:dyDescent="0.25">
      <c r="A118" s="21"/>
      <c r="B118" s="70"/>
      <c r="C118" s="35"/>
      <c r="D118" s="35"/>
      <c r="E118" s="35"/>
      <c r="F118" s="37"/>
      <c r="G118" s="35"/>
      <c r="H118" s="37"/>
      <c r="I118" s="56"/>
      <c r="J118" s="37"/>
      <c r="K118" s="37"/>
      <c r="L118" s="37"/>
      <c r="M118" s="97"/>
      <c r="N118" s="98"/>
      <c r="O118" s="90"/>
      <c r="P118" s="90">
        <f t="shared" si="2"/>
        <v>0</v>
      </c>
      <c r="Q118" s="81"/>
    </row>
    <row r="119" spans="1:17" ht="18" x14ac:dyDescent="0.25">
      <c r="A119" s="21" t="s">
        <v>21</v>
      </c>
      <c r="B119" s="73"/>
      <c r="C119" s="38">
        <f t="shared" ref="C119:H119" si="18">SUM(C110,C115,C117)</f>
        <v>819695.125</v>
      </c>
      <c r="D119" s="38">
        <f t="shared" si="18"/>
        <v>509930</v>
      </c>
      <c r="E119" s="48" t="e">
        <f>#REF!/#REF!</f>
        <v>#REF!</v>
      </c>
      <c r="F119" s="38">
        <f t="shared" si="18"/>
        <v>843256</v>
      </c>
      <c r="G119" s="38">
        <f t="shared" si="18"/>
        <v>699201.125</v>
      </c>
      <c r="H119" s="38">
        <f t="shared" si="18"/>
        <v>776877</v>
      </c>
      <c r="I119" s="57">
        <f>H119/H$119</f>
        <v>1</v>
      </c>
      <c r="J119" s="38">
        <f t="shared" ref="J119" si="19">SUM(J110,J115,J117)</f>
        <v>736077</v>
      </c>
      <c r="K119" s="57">
        <f>J119/J$119</f>
        <v>1</v>
      </c>
      <c r="L119" s="38">
        <f t="shared" ref="L119:M119" si="20">SUM(L110,L115,L117)</f>
        <v>780720.5</v>
      </c>
      <c r="M119" s="99">
        <f t="shared" si="20"/>
        <v>430245.04</v>
      </c>
      <c r="N119" s="100">
        <f t="shared" ref="N119:O119" si="21">SUM(N110,N115,N117)</f>
        <v>836150.5</v>
      </c>
      <c r="O119" s="100">
        <f t="shared" si="21"/>
        <v>536695.07000000007</v>
      </c>
      <c r="P119" s="96">
        <f t="shared" si="2"/>
        <v>805042.6050000001</v>
      </c>
      <c r="Q119" s="78">
        <f t="shared" ref="Q119" si="22">SUM(Q110,Q115,Q117)</f>
        <v>880463</v>
      </c>
    </row>
    <row r="120" spans="1:17" ht="18" x14ac:dyDescent="0.25">
      <c r="A120" s="29"/>
      <c r="B120" s="70"/>
      <c r="C120" s="35"/>
      <c r="D120" s="35"/>
      <c r="E120" s="35"/>
      <c r="F120" s="37"/>
      <c r="G120" s="35"/>
      <c r="H120" s="37"/>
      <c r="I120" s="56"/>
      <c r="J120" s="37"/>
      <c r="K120" s="37"/>
      <c r="L120" s="37"/>
      <c r="M120" s="97"/>
      <c r="N120" s="98"/>
      <c r="O120" s="90"/>
      <c r="P120" s="90"/>
      <c r="Q120" s="81"/>
    </row>
    <row r="121" spans="1:17" ht="18.75" thickBot="1" x14ac:dyDescent="0.3">
      <c r="A121" s="21" t="s">
        <v>63</v>
      </c>
      <c r="B121" s="74"/>
      <c r="C121" s="39" t="e">
        <f>+C37-C119</f>
        <v>#REF!</v>
      </c>
      <c r="D121" s="39" t="e">
        <f>+D37-D119</f>
        <v>#REF!</v>
      </c>
      <c r="E121" s="39"/>
      <c r="F121" s="46">
        <f>+F37-F119</f>
        <v>793</v>
      </c>
      <c r="G121" s="39" t="e">
        <f>+G37-G119</f>
        <v>#REF!</v>
      </c>
      <c r="H121" s="46">
        <f>+H37-H119</f>
        <v>-1000</v>
      </c>
      <c r="I121" s="59"/>
      <c r="J121" s="39">
        <f>+J37-J119</f>
        <v>-3700</v>
      </c>
      <c r="K121" s="39"/>
      <c r="L121" s="39">
        <f>+L37-L119</f>
        <v>-69520.5</v>
      </c>
      <c r="M121" s="103">
        <f>+M37-M119</f>
        <v>13302.060000000056</v>
      </c>
      <c r="N121" s="104">
        <f>+N37-N119</f>
        <v>-81450.5</v>
      </c>
      <c r="O121" s="104">
        <f>+O37-O119</f>
        <v>-54781.880000000005</v>
      </c>
      <c r="P121" s="96">
        <f t="shared" si="2"/>
        <v>-82172.820000000007</v>
      </c>
      <c r="Q121" s="82">
        <f>+Q37-Q119</f>
        <v>1537</v>
      </c>
    </row>
    <row r="122" spans="1:17" ht="19.5" thickTop="1" thickBot="1" x14ac:dyDescent="0.3">
      <c r="A122" s="30"/>
      <c r="B122" s="75"/>
      <c r="C122" s="40"/>
      <c r="D122" s="40"/>
      <c r="E122" s="40"/>
      <c r="F122" s="40"/>
      <c r="G122" s="40"/>
      <c r="H122" s="40"/>
      <c r="I122" s="60"/>
      <c r="J122" s="40"/>
      <c r="K122" s="40"/>
      <c r="L122" s="64"/>
      <c r="M122" s="105"/>
      <c r="N122" s="91"/>
      <c r="O122" s="90"/>
      <c r="P122" s="90"/>
      <c r="Q122" s="64"/>
    </row>
    <row r="123" spans="1:17" ht="16.5" thickTop="1" x14ac:dyDescent="0.25">
      <c r="B123" s="75"/>
      <c r="C123" s="7"/>
      <c r="D123" s="7"/>
      <c r="E123" s="7"/>
      <c r="F123" s="7"/>
      <c r="G123" s="7"/>
      <c r="I123" s="60"/>
      <c r="L123" s="64"/>
      <c r="M123" s="105"/>
      <c r="N123" s="91"/>
      <c r="O123" s="105"/>
      <c r="P123" s="105"/>
    </row>
    <row r="124" spans="1:17" x14ac:dyDescent="0.25">
      <c r="B124" s="75"/>
      <c r="I124" s="60"/>
      <c r="L124" s="64"/>
      <c r="M124" s="105"/>
      <c r="N124" s="105"/>
      <c r="O124" s="105"/>
      <c r="P124" s="105"/>
    </row>
    <row r="125" spans="1:17" ht="18" x14ac:dyDescent="0.25">
      <c r="A125" s="89"/>
      <c r="B125" s="75"/>
      <c r="I125" s="60"/>
      <c r="L125" s="64"/>
      <c r="M125" s="64"/>
      <c r="N125" s="64"/>
    </row>
    <row r="126" spans="1:17" x14ac:dyDescent="0.25">
      <c r="L126" s="64"/>
      <c r="M126" s="64"/>
      <c r="N126" s="64"/>
    </row>
    <row r="127" spans="1:17" x14ac:dyDescent="0.25">
      <c r="L127" s="64"/>
      <c r="M127" s="64"/>
      <c r="N127" s="64"/>
    </row>
  </sheetData>
  <mergeCells count="1">
    <mergeCell ref="B1:C1"/>
  </mergeCells>
  <printOptions gridLines="1"/>
  <pageMargins left="0.25" right="0.25" top="0.75" bottom="0.75" header="0.3" footer="0.3"/>
  <pageSetup scale="64" fitToHeight="0" orientation="landscape" r:id="rId1"/>
  <headerFooter>
    <oddFooter>&amp;C&amp;P&amp;R&amp;D, &amp;T</oddFooter>
  </headerFooter>
  <rowBreaks count="1" manualBreakCount="1">
    <brk id="6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AC414-1318-4D2B-BF94-B6CC2561DF14}">
  <dimension ref="A3:K41"/>
  <sheetViews>
    <sheetView workbookViewId="0">
      <selection activeCell="E16" sqref="E16"/>
    </sheetView>
  </sheetViews>
  <sheetFormatPr defaultRowHeight="12.75" x14ac:dyDescent="0.2"/>
  <cols>
    <col min="7" max="7" width="11" bestFit="1" customWidth="1"/>
  </cols>
  <sheetData>
    <row r="3" spans="1:11" ht="15.75" x14ac:dyDescent="0.2">
      <c r="D3" s="1" t="s">
        <v>0</v>
      </c>
      <c r="E3" s="3">
        <v>2018</v>
      </c>
      <c r="F3" s="3">
        <v>2019</v>
      </c>
      <c r="G3" s="3">
        <v>2020</v>
      </c>
      <c r="H3" s="3">
        <v>2020</v>
      </c>
      <c r="I3" s="3">
        <v>2021</v>
      </c>
      <c r="J3" s="3"/>
      <c r="K3" s="3"/>
    </row>
    <row r="4" spans="1:11" ht="47.25" x14ac:dyDescent="0.2">
      <c r="D4" s="11"/>
      <c r="E4" s="12" t="s">
        <v>7</v>
      </c>
      <c r="F4" s="10" t="s">
        <v>7</v>
      </c>
      <c r="G4" s="10" t="s">
        <v>7</v>
      </c>
      <c r="H4" s="10" t="s">
        <v>71</v>
      </c>
      <c r="I4" s="10" t="s">
        <v>73</v>
      </c>
      <c r="J4" s="12" t="s">
        <v>68</v>
      </c>
      <c r="K4" s="10" t="s">
        <v>69</v>
      </c>
    </row>
    <row r="5" spans="1:11" ht="15.75" x14ac:dyDescent="0.25">
      <c r="A5" s="1" t="s">
        <v>67</v>
      </c>
      <c r="D5" s="2"/>
      <c r="E5" s="3"/>
      <c r="F5" s="4"/>
      <c r="G5" s="4"/>
      <c r="H5" s="4"/>
      <c r="I5" s="4"/>
      <c r="J5" s="5"/>
      <c r="K5" s="5"/>
    </row>
    <row r="6" spans="1:11" ht="15.75" x14ac:dyDescent="0.25">
      <c r="A6" s="1" t="s">
        <v>16</v>
      </c>
      <c r="D6" s="2"/>
      <c r="E6" s="3"/>
      <c r="F6" s="4"/>
      <c r="G6" s="4"/>
      <c r="H6" s="4"/>
      <c r="I6" s="4"/>
      <c r="J6" s="5"/>
      <c r="K6" s="5"/>
    </row>
    <row r="7" spans="1:11" ht="15.75" x14ac:dyDescent="0.25">
      <c r="A7" s="16" t="s">
        <v>74</v>
      </c>
      <c r="D7">
        <v>500000</v>
      </c>
      <c r="G7" s="17">
        <v>6650</v>
      </c>
      <c r="K7" s="7"/>
    </row>
    <row r="8" spans="1:11" ht="15.75" x14ac:dyDescent="0.25">
      <c r="A8" s="15" t="s">
        <v>75</v>
      </c>
      <c r="D8" s="6">
        <v>500011</v>
      </c>
      <c r="E8" s="7"/>
      <c r="F8" s="7"/>
      <c r="G8" s="18">
        <v>600</v>
      </c>
      <c r="H8" s="7"/>
      <c r="I8" s="7"/>
      <c r="J8" s="9"/>
      <c r="K8" s="7"/>
    </row>
    <row r="9" spans="1:11" ht="15.75" x14ac:dyDescent="0.25">
      <c r="A9" s="16" t="s">
        <v>80</v>
      </c>
      <c r="D9">
        <v>500012</v>
      </c>
      <c r="E9" s="7"/>
      <c r="F9" s="7"/>
      <c r="G9" s="18">
        <v>1000</v>
      </c>
      <c r="H9" s="7"/>
      <c r="I9" s="7"/>
      <c r="J9" s="9"/>
      <c r="K9" s="7"/>
    </row>
    <row r="10" spans="1:11" ht="15.75" x14ac:dyDescent="0.25">
      <c r="A10" s="15" t="s">
        <v>77</v>
      </c>
      <c r="D10" s="6">
        <v>500020</v>
      </c>
      <c r="E10" s="7"/>
      <c r="F10" s="7"/>
      <c r="G10" s="18">
        <v>4000</v>
      </c>
      <c r="H10" s="7"/>
      <c r="I10" s="7"/>
      <c r="J10" s="9"/>
      <c r="K10" s="7"/>
    </row>
    <row r="11" spans="1:11" ht="15.75" x14ac:dyDescent="0.25">
      <c r="A11" s="15" t="s">
        <v>76</v>
      </c>
      <c r="D11" s="6">
        <v>500021</v>
      </c>
      <c r="E11" s="7"/>
      <c r="F11" s="7"/>
      <c r="G11" s="18">
        <v>4000</v>
      </c>
      <c r="H11" s="7"/>
      <c r="I11" s="7"/>
      <c r="J11" s="9"/>
      <c r="K11" s="7"/>
    </row>
    <row r="12" spans="1:11" ht="15.75" x14ac:dyDescent="0.25">
      <c r="A12" s="15" t="s">
        <v>78</v>
      </c>
      <c r="D12" s="6">
        <v>500022</v>
      </c>
      <c r="E12" s="7"/>
      <c r="F12" s="7"/>
      <c r="G12" s="18">
        <v>1500</v>
      </c>
      <c r="H12" s="7"/>
      <c r="I12" s="7"/>
      <c r="J12" s="9"/>
      <c r="K12" s="7"/>
    </row>
    <row r="13" spans="1:11" ht="15.75" x14ac:dyDescent="0.25">
      <c r="A13" s="15" t="s">
        <v>79</v>
      </c>
      <c r="D13" s="6">
        <v>500053</v>
      </c>
      <c r="E13" s="7"/>
      <c r="F13" s="7"/>
      <c r="G13" s="18">
        <v>1000</v>
      </c>
      <c r="H13" s="7"/>
      <c r="I13" s="7"/>
      <c r="J13" s="9"/>
      <c r="K13" s="7"/>
    </row>
    <row r="14" spans="1:11" ht="15.75" x14ac:dyDescent="0.25">
      <c r="A14" s="15" t="s">
        <v>81</v>
      </c>
      <c r="D14" s="6">
        <v>500060</v>
      </c>
      <c r="E14" s="7"/>
      <c r="F14" s="7"/>
      <c r="G14" s="18">
        <v>6000</v>
      </c>
      <c r="H14" s="7"/>
      <c r="I14" s="7"/>
      <c r="J14" s="9"/>
      <c r="K14" s="7"/>
    </row>
    <row r="15" spans="1:11" ht="15.75" x14ac:dyDescent="0.25">
      <c r="A15" s="15" t="s">
        <v>82</v>
      </c>
      <c r="D15" s="6">
        <v>500075</v>
      </c>
      <c r="E15" s="7"/>
      <c r="F15" s="7"/>
      <c r="G15" s="18">
        <v>3000</v>
      </c>
      <c r="H15" s="7"/>
      <c r="I15" s="7"/>
      <c r="J15" s="9"/>
      <c r="K15" s="7"/>
    </row>
    <row r="16" spans="1:11" ht="15.75" x14ac:dyDescent="0.25">
      <c r="A16" s="15" t="s">
        <v>83</v>
      </c>
      <c r="D16" s="6">
        <v>500080</v>
      </c>
      <c r="E16" s="7"/>
      <c r="F16" s="7"/>
      <c r="G16" s="18">
        <v>2100</v>
      </c>
      <c r="H16" s="7"/>
      <c r="I16" s="7"/>
      <c r="J16" s="9"/>
      <c r="K16" s="7"/>
    </row>
    <row r="17" spans="1:11" ht="15.75" x14ac:dyDescent="0.25">
      <c r="A17" s="6" t="s">
        <v>16</v>
      </c>
      <c r="D17" s="6"/>
      <c r="E17" s="7">
        <v>31320</v>
      </c>
      <c r="F17" s="7">
        <v>266616</v>
      </c>
      <c r="G17" s="19">
        <f>SUM(G7:G16)</f>
        <v>29850</v>
      </c>
      <c r="H17" s="7"/>
      <c r="I17" s="7">
        <v>591146</v>
      </c>
      <c r="J17" s="9">
        <f>+I17-F17</f>
        <v>324530</v>
      </c>
      <c r="K17" s="7"/>
    </row>
    <row r="18" spans="1:11" ht="15.75" x14ac:dyDescent="0.25">
      <c r="A18" s="6"/>
      <c r="D18" s="6"/>
      <c r="E18" s="7"/>
      <c r="F18" s="7"/>
      <c r="G18" s="7"/>
      <c r="H18" s="7"/>
      <c r="I18" s="7"/>
      <c r="J18" s="9"/>
      <c r="K18" s="7"/>
    </row>
    <row r="19" spans="1:11" ht="15.75" x14ac:dyDescent="0.25">
      <c r="A19" s="6" t="s">
        <v>18</v>
      </c>
      <c r="D19" s="6">
        <v>400300</v>
      </c>
      <c r="E19" s="7">
        <v>4000</v>
      </c>
      <c r="F19" s="7">
        <v>4000</v>
      </c>
      <c r="G19" s="7">
        <v>4000</v>
      </c>
      <c r="H19" s="7"/>
      <c r="I19" s="7">
        <v>4000</v>
      </c>
      <c r="J19" s="9">
        <f>+I19-F19</f>
        <v>0</v>
      </c>
      <c r="K19" s="7"/>
    </row>
    <row r="20" spans="1:11" ht="15.75" x14ac:dyDescent="0.25">
      <c r="A20" s="6"/>
      <c r="D20" s="6"/>
      <c r="E20" s="7"/>
      <c r="F20" s="7"/>
      <c r="G20" s="7"/>
      <c r="H20" s="7"/>
      <c r="I20" s="7"/>
      <c r="J20" s="9"/>
      <c r="K20" s="7"/>
    </row>
    <row r="21" spans="1:11" ht="15.75" x14ac:dyDescent="0.25">
      <c r="A21" s="6"/>
      <c r="D21" s="6"/>
      <c r="E21" s="7"/>
      <c r="F21" s="7"/>
      <c r="G21" s="7"/>
      <c r="H21" s="7"/>
      <c r="I21" s="7"/>
      <c r="J21" s="9"/>
      <c r="K21" s="7"/>
    </row>
    <row r="22" spans="1:11" ht="15.75" x14ac:dyDescent="0.25">
      <c r="A22" s="6"/>
      <c r="D22" s="6"/>
      <c r="E22" s="7"/>
      <c r="F22" s="7"/>
      <c r="G22" s="7"/>
      <c r="H22" s="7"/>
      <c r="I22" s="7"/>
      <c r="J22" s="9"/>
      <c r="K22" s="7"/>
    </row>
    <row r="23" spans="1:11" ht="15.75" x14ac:dyDescent="0.25">
      <c r="A23" s="6"/>
      <c r="D23" s="6"/>
      <c r="E23" s="7"/>
      <c r="F23" s="7"/>
      <c r="G23" s="7"/>
      <c r="H23" s="7"/>
      <c r="I23" s="7"/>
      <c r="J23" s="9"/>
      <c r="K23" s="7"/>
    </row>
    <row r="24" spans="1:11" ht="15.75" x14ac:dyDescent="0.25">
      <c r="A24" s="6"/>
      <c r="D24" s="6"/>
      <c r="E24" s="7"/>
      <c r="F24" s="7"/>
      <c r="G24" s="7"/>
      <c r="H24" s="7"/>
      <c r="I24" s="7"/>
      <c r="J24" s="9"/>
      <c r="K24" s="7"/>
    </row>
    <row r="25" spans="1:11" ht="15.75" x14ac:dyDescent="0.25">
      <c r="A25" s="6"/>
      <c r="D25" s="6"/>
      <c r="E25" s="7"/>
      <c r="F25" s="7"/>
      <c r="G25" s="7"/>
      <c r="H25" s="7"/>
      <c r="I25" s="7"/>
      <c r="J25" s="9"/>
      <c r="K25" s="7"/>
    </row>
    <row r="26" spans="1:11" ht="15.75" x14ac:dyDescent="0.25">
      <c r="A26" s="6"/>
      <c r="D26" s="6"/>
      <c r="E26" s="7"/>
      <c r="F26" s="7"/>
      <c r="G26" s="7"/>
      <c r="H26" s="7"/>
      <c r="I26" s="7"/>
      <c r="J26" s="9"/>
      <c r="K26" s="7"/>
    </row>
    <row r="27" spans="1:11" ht="15.75" x14ac:dyDescent="0.25">
      <c r="A27" s="6"/>
      <c r="D27" s="6"/>
      <c r="E27" s="7"/>
      <c r="F27" s="7"/>
      <c r="G27" s="7"/>
      <c r="H27" s="7"/>
      <c r="I27" s="7"/>
      <c r="J27" s="9"/>
      <c r="K27" s="7"/>
    </row>
    <row r="28" spans="1:11" ht="15.75" x14ac:dyDescent="0.25">
      <c r="A28" s="6"/>
      <c r="D28" s="6"/>
      <c r="E28" s="7"/>
      <c r="F28" s="7"/>
      <c r="G28" s="7"/>
      <c r="H28" s="7"/>
      <c r="I28" s="7"/>
      <c r="J28" s="9"/>
      <c r="K28" s="7"/>
    </row>
    <row r="29" spans="1:11" ht="15.75" x14ac:dyDescent="0.25">
      <c r="A29" s="6"/>
      <c r="D29" s="6"/>
      <c r="E29" s="7"/>
      <c r="F29" s="7"/>
      <c r="G29" s="7"/>
      <c r="H29" s="7"/>
      <c r="I29" s="7"/>
      <c r="J29" s="9"/>
      <c r="K29" s="7"/>
    </row>
    <row r="30" spans="1:11" ht="15.75" x14ac:dyDescent="0.25">
      <c r="A30" s="6"/>
      <c r="D30" s="6"/>
      <c r="E30" s="7"/>
      <c r="F30" s="7"/>
      <c r="G30" s="7"/>
      <c r="H30" s="7"/>
      <c r="I30" s="7"/>
      <c r="J30" s="9"/>
      <c r="K30" s="7"/>
    </row>
    <row r="31" spans="1:11" ht="15.75" x14ac:dyDescent="0.25">
      <c r="A31" s="6"/>
      <c r="D31" s="6"/>
      <c r="E31" s="7"/>
      <c r="F31" s="7"/>
      <c r="G31" s="7"/>
      <c r="H31" s="7"/>
      <c r="I31" s="7"/>
      <c r="J31" s="9"/>
      <c r="K31" s="7"/>
    </row>
    <row r="32" spans="1:11" ht="15.75" x14ac:dyDescent="0.25">
      <c r="A32" s="6"/>
      <c r="D32" s="6"/>
      <c r="E32" s="7"/>
      <c r="F32" s="7"/>
      <c r="G32" s="7"/>
      <c r="H32" s="7"/>
      <c r="I32" s="7"/>
      <c r="J32" s="9"/>
      <c r="K32" s="7"/>
    </row>
    <row r="33" spans="1:11" ht="15.75" x14ac:dyDescent="0.25">
      <c r="A33" s="6"/>
      <c r="D33" s="6"/>
      <c r="E33" s="7"/>
      <c r="F33" s="7"/>
      <c r="G33" s="7"/>
      <c r="H33" s="7"/>
      <c r="I33" s="7"/>
      <c r="J33" s="9"/>
      <c r="K33" s="7"/>
    </row>
    <row r="34" spans="1:11" ht="15.75" x14ac:dyDescent="0.25">
      <c r="A34" s="6"/>
      <c r="D34" s="6"/>
      <c r="E34" s="7"/>
      <c r="F34" s="7"/>
      <c r="G34" s="7"/>
      <c r="H34" s="7"/>
      <c r="I34" s="7"/>
      <c r="J34" s="9"/>
      <c r="K34" s="7"/>
    </row>
    <row r="35" spans="1:11" ht="15.75" x14ac:dyDescent="0.25">
      <c r="A35" s="6"/>
      <c r="D35" s="6"/>
      <c r="E35" s="7"/>
      <c r="F35" s="7"/>
      <c r="G35" s="7"/>
      <c r="H35" s="7"/>
      <c r="I35" s="7"/>
      <c r="J35" s="9"/>
      <c r="K35" s="7"/>
    </row>
    <row r="36" spans="1:11" ht="15.75" x14ac:dyDescent="0.25">
      <c r="A36" s="6"/>
      <c r="D36" s="6"/>
      <c r="E36" s="7"/>
      <c r="F36" s="7"/>
      <c r="G36" s="7"/>
      <c r="H36" s="7"/>
      <c r="I36" s="7"/>
      <c r="J36" s="9"/>
      <c r="K36" s="7"/>
    </row>
    <row r="37" spans="1:11" ht="15.75" x14ac:dyDescent="0.25">
      <c r="A37" s="6"/>
      <c r="D37" s="6"/>
      <c r="E37" s="7"/>
      <c r="F37" s="7"/>
      <c r="G37" s="7"/>
      <c r="H37" s="7"/>
      <c r="I37" s="7"/>
      <c r="J37" s="9"/>
      <c r="K37" s="7"/>
    </row>
    <row r="38" spans="1:11" ht="15.75" x14ac:dyDescent="0.25">
      <c r="A38" s="6"/>
      <c r="D38" s="6"/>
      <c r="E38" s="7"/>
      <c r="F38" s="7"/>
      <c r="G38" s="7"/>
      <c r="H38" s="7"/>
      <c r="I38" s="7"/>
      <c r="J38" s="9"/>
      <c r="K38" s="7"/>
    </row>
    <row r="39" spans="1:11" ht="15" x14ac:dyDescent="0.3">
      <c r="A39" s="6"/>
      <c r="D39" s="6"/>
      <c r="E39" s="7"/>
      <c r="F39" s="7"/>
      <c r="G39" s="7"/>
      <c r="H39" s="7"/>
      <c r="I39" s="7"/>
      <c r="J39" s="9"/>
      <c r="K39" s="7"/>
    </row>
    <row r="40" spans="1:11" ht="15" x14ac:dyDescent="0.3">
      <c r="A40" s="1" t="s">
        <v>20</v>
      </c>
      <c r="D40" s="6">
        <v>400200</v>
      </c>
      <c r="E40" s="7">
        <v>33239</v>
      </c>
      <c r="F40" s="7">
        <f>33239+2500</f>
        <v>35739</v>
      </c>
      <c r="G40" s="7">
        <v>35739</v>
      </c>
      <c r="H40" s="7"/>
      <c r="I40" s="7">
        <v>35739</v>
      </c>
      <c r="J40" s="13">
        <f>+I40-F40</f>
        <v>0</v>
      </c>
      <c r="K40" s="14"/>
    </row>
    <row r="41" spans="1:11" ht="15" x14ac:dyDescent="0.3">
      <c r="D41" s="2"/>
      <c r="E41" s="8">
        <f>SUM(E8:E40)</f>
        <v>68559</v>
      </c>
      <c r="F41" s="8">
        <f>SUM(F8:F40)</f>
        <v>306355</v>
      </c>
      <c r="G41" s="8">
        <f>SUM(G8:G40)</f>
        <v>92789</v>
      </c>
      <c r="H41" s="8"/>
      <c r="I41" s="8">
        <f>SUM(I8:I40)</f>
        <v>630885</v>
      </c>
      <c r="J41" s="9">
        <f>+I41-F41</f>
        <v>324530</v>
      </c>
      <c r="K41" s="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71851-8C7E-474F-B1AF-BAEB1BA1F8FD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 Budget</vt:lpstr>
      <vt:lpstr>Missions</vt:lpstr>
      <vt:lpstr>sheet2</vt:lpstr>
      <vt:lpstr>'Summary Budget'!Print_Area</vt:lpstr>
      <vt:lpstr>'Summary Budget'!Print_Titles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Dick</dc:creator>
  <cp:lastModifiedBy>jordan@clark-ventures.com</cp:lastModifiedBy>
  <cp:lastPrinted>2023-10-04T17:24:30Z</cp:lastPrinted>
  <dcterms:created xsi:type="dcterms:W3CDTF">2017-07-10T21:24:33Z</dcterms:created>
  <dcterms:modified xsi:type="dcterms:W3CDTF">2023-10-24T21:09:10Z</dcterms:modified>
</cp:coreProperties>
</file>